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OMKAR\Working Files\EXCEL\OS-Doraen\"/>
    </mc:Choice>
  </mc:AlternateContent>
  <xr:revisionPtr revIDLastSave="0" documentId="13_ncr:1_{A64708D9-5F4A-4B36-AB7C-5578B16109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1" r:id="rId1"/>
    <sheet name="OS-DORAEN" sheetId="2" r:id="rId2"/>
    <sheet name="Bulk Calculator" sheetId="3" r:id="rId3"/>
    <sheet name="Bulk Instructions" sheetId="4" r:id="rId4"/>
    <sheet name=" Motor Calculation" sheetId="5" r:id="rId5"/>
    <sheet name="Cable Data" sheetId="6" r:id="rId6"/>
    <sheet name="Formula Guide" sheetId="7" r:id="rId7"/>
    <sheet name="Design Notes" sheetId="8" r:id="rId8"/>
    <sheet name="Lists" sheetId="9" state="hidden" r:id="rId9"/>
    <sheet name="Cable Data Master" sheetId="10" r:id="rId10"/>
    <sheet name="AUTO ENGINE" sheetId="11" state="hidden" r:id="rId11"/>
  </sheets>
  <definedNames>
    <definedName name="_xlnm._FilterDatabase" localSheetId="10" hidden="1">'AUTO ENGINE'!$A$1:$N$1201</definedName>
    <definedName name="_xlnm._FilterDatabase" localSheetId="2" hidden="1">'Bulk Calculator'!$A$3:$BD$103</definedName>
    <definedName name="_xlnm._FilterDatabase" localSheetId="9" hidden="1">'Cable Data Master'!$A$1:$M$141</definedName>
    <definedName name="_xlnm._FilterDatabase" localSheetId="1" hidden="1">'OS-DORAEN'!$A$13:$M$33</definedName>
    <definedName name="_xlnm.Print_Area" localSheetId="0">'Cover Page'!$B$2:$F$27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1" i="10" l="1"/>
  <c r="K141" i="10"/>
  <c r="L140" i="10"/>
  <c r="K140" i="10"/>
  <c r="L139" i="10"/>
  <c r="K139" i="10"/>
  <c r="L138" i="10"/>
  <c r="K138" i="10"/>
  <c r="L137" i="10"/>
  <c r="K137" i="10"/>
  <c r="L136" i="10"/>
  <c r="K136" i="10"/>
  <c r="L135" i="10"/>
  <c r="K135" i="10"/>
  <c r="L134" i="10"/>
  <c r="K134" i="10"/>
  <c r="L133" i="10"/>
  <c r="K133" i="10"/>
  <c r="L132" i="10"/>
  <c r="K132" i="10"/>
  <c r="L131" i="10"/>
  <c r="K131" i="10"/>
  <c r="L130" i="10"/>
  <c r="K130" i="10"/>
  <c r="L129" i="10"/>
  <c r="K129" i="10"/>
  <c r="L128" i="10"/>
  <c r="K128" i="10"/>
  <c r="L127" i="10"/>
  <c r="K127" i="10"/>
  <c r="L126" i="10"/>
  <c r="K126" i="10"/>
  <c r="L125" i="10"/>
  <c r="K125" i="10"/>
  <c r="L124" i="10"/>
  <c r="K124" i="10"/>
  <c r="L123" i="10"/>
  <c r="K123" i="10"/>
  <c r="L122" i="10"/>
  <c r="K122" i="10"/>
  <c r="L121" i="10"/>
  <c r="K121" i="10"/>
  <c r="L120" i="10"/>
  <c r="K120" i="10"/>
  <c r="L119" i="10"/>
  <c r="K119" i="10"/>
  <c r="L118" i="10"/>
  <c r="K118" i="10"/>
  <c r="L117" i="10"/>
  <c r="K117" i="10"/>
  <c r="L116" i="10"/>
  <c r="K116" i="10"/>
  <c r="L115" i="10"/>
  <c r="K115" i="10"/>
  <c r="L114" i="10"/>
  <c r="K114" i="10"/>
  <c r="L113" i="10"/>
  <c r="K113" i="10"/>
  <c r="L112" i="10"/>
  <c r="K112" i="10"/>
  <c r="L111" i="10"/>
  <c r="K111" i="10"/>
  <c r="L110" i="10"/>
  <c r="K110" i="10"/>
  <c r="L109" i="10"/>
  <c r="K109" i="10"/>
  <c r="L108" i="10"/>
  <c r="K108" i="10"/>
  <c r="L107" i="10"/>
  <c r="K107" i="10"/>
  <c r="L106" i="10"/>
  <c r="K106" i="10"/>
  <c r="L105" i="10"/>
  <c r="K105" i="10"/>
  <c r="L104" i="10"/>
  <c r="K104" i="10"/>
  <c r="L103" i="10"/>
  <c r="K103" i="10"/>
  <c r="L102" i="10"/>
  <c r="K102" i="10"/>
  <c r="L101" i="10"/>
  <c r="K101" i="10"/>
  <c r="L100" i="10"/>
  <c r="K100" i="10"/>
  <c r="L99" i="10"/>
  <c r="K99" i="10"/>
  <c r="L98" i="10"/>
  <c r="K98" i="10"/>
  <c r="L97" i="10"/>
  <c r="K97" i="10"/>
  <c r="L96" i="10"/>
  <c r="K96" i="10"/>
  <c r="L95" i="10"/>
  <c r="K95" i="10"/>
  <c r="L94" i="10"/>
  <c r="K94" i="10"/>
  <c r="L93" i="10"/>
  <c r="K93" i="10"/>
  <c r="L92" i="10"/>
  <c r="K92" i="10"/>
  <c r="L91" i="10"/>
  <c r="K91" i="10"/>
  <c r="L90" i="10"/>
  <c r="K90" i="10"/>
  <c r="L89" i="10"/>
  <c r="K89" i="10"/>
  <c r="L88" i="10"/>
  <c r="K88" i="10"/>
  <c r="L87" i="10"/>
  <c r="K87" i="10"/>
  <c r="L86" i="10"/>
  <c r="K86" i="10"/>
  <c r="L85" i="10"/>
  <c r="K85" i="10"/>
  <c r="L84" i="10"/>
  <c r="K84" i="10"/>
  <c r="L83" i="10"/>
  <c r="K83" i="10"/>
  <c r="L82" i="10"/>
  <c r="K82" i="10"/>
  <c r="L81" i="10"/>
  <c r="K81" i="10"/>
  <c r="L80" i="10"/>
  <c r="K80" i="10"/>
  <c r="L79" i="10"/>
  <c r="K79" i="10"/>
  <c r="L78" i="10"/>
  <c r="K78" i="10"/>
  <c r="L77" i="10"/>
  <c r="K77" i="10"/>
  <c r="L76" i="10"/>
  <c r="K76" i="10"/>
  <c r="L75" i="10"/>
  <c r="K75" i="10"/>
  <c r="L74" i="10"/>
  <c r="K74" i="10"/>
  <c r="L73" i="10"/>
  <c r="K73" i="10"/>
  <c r="L72" i="10"/>
  <c r="K72" i="10"/>
  <c r="L71" i="10"/>
  <c r="K71" i="10"/>
  <c r="L70" i="10"/>
  <c r="K70" i="10"/>
  <c r="L69" i="10"/>
  <c r="K69" i="10"/>
  <c r="L68" i="10"/>
  <c r="K68" i="10"/>
  <c r="L67" i="10"/>
  <c r="K67" i="10"/>
  <c r="L66" i="10"/>
  <c r="K66" i="10"/>
  <c r="L65" i="10"/>
  <c r="K65" i="10"/>
  <c r="L64" i="10"/>
  <c r="K64" i="10"/>
  <c r="L63" i="10"/>
  <c r="K63" i="10"/>
  <c r="L62" i="10"/>
  <c r="K62" i="10"/>
  <c r="L61" i="10"/>
  <c r="K61" i="10"/>
  <c r="L60" i="10"/>
  <c r="K60" i="10"/>
  <c r="L59" i="10"/>
  <c r="K59" i="10"/>
  <c r="L58" i="10"/>
  <c r="K58" i="10"/>
  <c r="L57" i="10"/>
  <c r="K57" i="10"/>
  <c r="L56" i="10"/>
  <c r="K56" i="10"/>
  <c r="L55" i="10"/>
  <c r="K55" i="10"/>
  <c r="L54" i="10"/>
  <c r="K54" i="10"/>
  <c r="L53" i="10"/>
  <c r="K53" i="10"/>
  <c r="L52" i="10"/>
  <c r="K52" i="10"/>
  <c r="L51" i="10"/>
  <c r="K51" i="10"/>
  <c r="L50" i="10"/>
  <c r="K50" i="10"/>
  <c r="L49" i="10"/>
  <c r="K49" i="10"/>
  <c r="L48" i="10"/>
  <c r="K48" i="10"/>
  <c r="L47" i="10"/>
  <c r="K47" i="10"/>
  <c r="L46" i="10"/>
  <c r="K46" i="10"/>
  <c r="L45" i="10"/>
  <c r="K45" i="10"/>
  <c r="L44" i="10"/>
  <c r="K44" i="10"/>
  <c r="L43" i="10"/>
  <c r="K43" i="10"/>
  <c r="L42" i="10"/>
  <c r="K42" i="10"/>
  <c r="L41" i="10"/>
  <c r="K41" i="10"/>
  <c r="L40" i="10"/>
  <c r="K40" i="10"/>
  <c r="L39" i="10"/>
  <c r="K39" i="10"/>
  <c r="L38" i="10"/>
  <c r="K38" i="10"/>
  <c r="L37" i="10"/>
  <c r="K37" i="10"/>
  <c r="L36" i="10"/>
  <c r="K36" i="10"/>
  <c r="L35" i="10"/>
  <c r="K35" i="10"/>
  <c r="L34" i="10"/>
  <c r="K34" i="10"/>
  <c r="L33" i="10"/>
  <c r="K33" i="10"/>
  <c r="L32" i="10"/>
  <c r="K32" i="10"/>
  <c r="L31" i="10"/>
  <c r="K31" i="10"/>
  <c r="L30" i="10"/>
  <c r="K30" i="10"/>
  <c r="L29" i="10"/>
  <c r="K29" i="10"/>
  <c r="L28" i="10"/>
  <c r="K28" i="10"/>
  <c r="L27" i="10"/>
  <c r="K27" i="10"/>
  <c r="L26" i="10"/>
  <c r="K26" i="10"/>
  <c r="L25" i="10"/>
  <c r="K25" i="10"/>
  <c r="L24" i="10"/>
  <c r="K24" i="10"/>
  <c r="L23" i="10"/>
  <c r="K23" i="10"/>
  <c r="L22" i="10"/>
  <c r="K22" i="10"/>
  <c r="L21" i="10"/>
  <c r="K21" i="10"/>
  <c r="L20" i="10"/>
  <c r="K20" i="10"/>
  <c r="L19" i="10"/>
  <c r="K19" i="10"/>
  <c r="L18" i="10"/>
  <c r="K18" i="10"/>
  <c r="L17" i="10"/>
  <c r="K17" i="10"/>
  <c r="L16" i="10"/>
  <c r="K16" i="10"/>
  <c r="L15" i="10"/>
  <c r="K15" i="10"/>
  <c r="L14" i="10"/>
  <c r="K14" i="10"/>
  <c r="L13" i="10"/>
  <c r="K13" i="10"/>
  <c r="L12" i="10"/>
  <c r="K12" i="10"/>
  <c r="L11" i="10"/>
  <c r="K11" i="10"/>
  <c r="L10" i="10"/>
  <c r="K10" i="10"/>
  <c r="L9" i="10"/>
  <c r="K9" i="10"/>
  <c r="L8" i="10"/>
  <c r="K8" i="10"/>
  <c r="L7" i="10"/>
  <c r="K7" i="10"/>
  <c r="L6" i="10"/>
  <c r="K6" i="10"/>
  <c r="L5" i="10"/>
  <c r="K5" i="10"/>
  <c r="L4" i="10"/>
  <c r="K4" i="10"/>
  <c r="L3" i="10"/>
  <c r="K3" i="10"/>
  <c r="L2" i="10"/>
  <c r="K2" i="10"/>
  <c r="N141" i="6"/>
  <c r="N140" i="6"/>
  <c r="N139" i="6"/>
  <c r="N138" i="6"/>
  <c r="N137" i="6"/>
  <c r="N136" i="6"/>
  <c r="N135" i="6"/>
  <c r="N134" i="6"/>
  <c r="N133" i="6"/>
  <c r="N132" i="6"/>
  <c r="N131" i="6"/>
  <c r="N130" i="6"/>
  <c r="N129" i="6"/>
  <c r="N128" i="6"/>
  <c r="N127" i="6"/>
  <c r="N126" i="6"/>
  <c r="N125" i="6"/>
  <c r="N124" i="6"/>
  <c r="N123" i="6"/>
  <c r="N122" i="6"/>
  <c r="N121" i="6"/>
  <c r="N120" i="6"/>
  <c r="N119" i="6"/>
  <c r="N118" i="6"/>
  <c r="N117" i="6"/>
  <c r="N116" i="6"/>
  <c r="N115" i="6"/>
  <c r="N114" i="6"/>
  <c r="N113" i="6"/>
  <c r="N112" i="6"/>
  <c r="N111" i="6"/>
  <c r="N110" i="6"/>
  <c r="N109" i="6"/>
  <c r="N108" i="6"/>
  <c r="N107" i="6"/>
  <c r="N106" i="6"/>
  <c r="N105" i="6"/>
  <c r="N104" i="6"/>
  <c r="N103" i="6"/>
  <c r="N102" i="6"/>
  <c r="N101" i="6"/>
  <c r="N100" i="6"/>
  <c r="N99" i="6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N3" i="6"/>
  <c r="N2" i="6"/>
  <c r="B44" i="5"/>
  <c r="B45" i="5" s="1"/>
  <c r="B46" i="5" s="1"/>
  <c r="B33" i="5"/>
  <c r="B29" i="5"/>
  <c r="B26" i="5"/>
  <c r="B25" i="5"/>
  <c r="BJ103" i="3"/>
  <c r="BI103" i="3"/>
  <c r="BF103" i="3" s="1"/>
  <c r="BH103" i="3"/>
  <c r="BG103" i="3"/>
  <c r="AR103" i="3"/>
  <c r="AQ103" i="3"/>
  <c r="AP103" i="3"/>
  <c r="AG103" i="3"/>
  <c r="AB103" i="3"/>
  <c r="U103" i="3"/>
  <c r="AS103" i="3" s="1"/>
  <c r="AV103" i="3" s="1"/>
  <c r="R103" i="3"/>
  <c r="BB103" i="3" s="1"/>
  <c r="BJ102" i="3"/>
  <c r="BI102" i="3"/>
  <c r="BF102" i="3" s="1"/>
  <c r="BH102" i="3"/>
  <c r="BG102" i="3"/>
  <c r="AR102" i="3"/>
  <c r="AQ102" i="3"/>
  <c r="AP102" i="3"/>
  <c r="AG102" i="3"/>
  <c r="AB102" i="3"/>
  <c r="U102" i="3"/>
  <c r="AS102" i="3" s="1"/>
  <c r="AT102" i="3" s="1"/>
  <c r="R102" i="3"/>
  <c r="G102" i="3" s="1"/>
  <c r="BK102" i="3" s="1"/>
  <c r="BJ101" i="3"/>
  <c r="BI101" i="3"/>
  <c r="BF101" i="3" s="1"/>
  <c r="BH101" i="3"/>
  <c r="BG101" i="3"/>
  <c r="AR101" i="3"/>
  <c r="AQ101" i="3"/>
  <c r="AP101" i="3"/>
  <c r="AG101" i="3"/>
  <c r="AB101" i="3"/>
  <c r="U101" i="3"/>
  <c r="AA101" i="3" s="1"/>
  <c r="AX101" i="3" s="1"/>
  <c r="R101" i="3"/>
  <c r="G101" i="3" s="1"/>
  <c r="AM101" i="3" s="1"/>
  <c r="BJ100" i="3"/>
  <c r="BI100" i="3"/>
  <c r="BF100" i="3" s="1"/>
  <c r="BH100" i="3"/>
  <c r="BG100" i="3"/>
  <c r="AR100" i="3"/>
  <c r="AQ100" i="3"/>
  <c r="AP100" i="3"/>
  <c r="AG100" i="3"/>
  <c r="AB100" i="3"/>
  <c r="U100" i="3"/>
  <c r="R100" i="3"/>
  <c r="BB100" i="3" s="1"/>
  <c r="BJ99" i="3"/>
  <c r="BI99" i="3"/>
  <c r="BF99" i="3" s="1"/>
  <c r="BH99" i="3"/>
  <c r="BG99" i="3"/>
  <c r="AR99" i="3"/>
  <c r="AQ99" i="3"/>
  <c r="AP99" i="3"/>
  <c r="AG99" i="3"/>
  <c r="AB99" i="3"/>
  <c r="U99" i="3"/>
  <c r="R99" i="3"/>
  <c r="BJ98" i="3"/>
  <c r="BI98" i="3"/>
  <c r="BF98" i="3" s="1"/>
  <c r="BH98" i="3"/>
  <c r="BG98" i="3"/>
  <c r="AR98" i="3"/>
  <c r="AQ98" i="3"/>
  <c r="AP98" i="3"/>
  <c r="AG98" i="3"/>
  <c r="AB98" i="3"/>
  <c r="U98" i="3"/>
  <c r="R98" i="3"/>
  <c r="BC98" i="3" s="1"/>
  <c r="BJ97" i="3"/>
  <c r="BI97" i="3"/>
  <c r="BF97" i="3" s="1"/>
  <c r="BH97" i="3"/>
  <c r="BG97" i="3"/>
  <c r="AR97" i="3"/>
  <c r="AQ97" i="3"/>
  <c r="AP97" i="3"/>
  <c r="AG97" i="3"/>
  <c r="AB97" i="3"/>
  <c r="U97" i="3"/>
  <c r="AS97" i="3" s="1"/>
  <c r="R97" i="3"/>
  <c r="G97" i="3" s="1"/>
  <c r="BJ96" i="3"/>
  <c r="BI96" i="3"/>
  <c r="BF96" i="3" s="1"/>
  <c r="BH96" i="3"/>
  <c r="BG96" i="3"/>
  <c r="AR96" i="3"/>
  <c r="AQ96" i="3"/>
  <c r="AP96" i="3"/>
  <c r="AG96" i="3"/>
  <c r="AB96" i="3"/>
  <c r="U96" i="3"/>
  <c r="AA96" i="3" s="1"/>
  <c r="AX96" i="3" s="1"/>
  <c r="R96" i="3"/>
  <c r="G96" i="3" s="1"/>
  <c r="AM96" i="3" s="1"/>
  <c r="BJ95" i="3"/>
  <c r="BI95" i="3"/>
  <c r="BF95" i="3" s="1"/>
  <c r="BH95" i="3"/>
  <c r="BG95" i="3"/>
  <c r="AR95" i="3"/>
  <c r="AQ95" i="3"/>
  <c r="AP95" i="3"/>
  <c r="AG95" i="3"/>
  <c r="AB95" i="3"/>
  <c r="U95" i="3"/>
  <c r="AA95" i="3" s="1"/>
  <c r="AX95" i="3" s="1"/>
  <c r="R95" i="3"/>
  <c r="BJ94" i="3"/>
  <c r="BI94" i="3"/>
  <c r="BF94" i="3" s="1"/>
  <c r="BH94" i="3"/>
  <c r="BG94" i="3"/>
  <c r="AR94" i="3"/>
  <c r="AQ94" i="3"/>
  <c r="AP94" i="3"/>
  <c r="AG94" i="3"/>
  <c r="AB94" i="3"/>
  <c r="U94" i="3"/>
  <c r="R94" i="3"/>
  <c r="G94" i="3" s="1"/>
  <c r="BK94" i="3" s="1"/>
  <c r="BJ93" i="3"/>
  <c r="BI93" i="3"/>
  <c r="BF93" i="3" s="1"/>
  <c r="BH93" i="3"/>
  <c r="BG93" i="3"/>
  <c r="AR93" i="3"/>
  <c r="AQ93" i="3"/>
  <c r="AP93" i="3"/>
  <c r="AG93" i="3"/>
  <c r="AB93" i="3"/>
  <c r="U93" i="3"/>
  <c r="AS93" i="3" s="1"/>
  <c r="R93" i="3"/>
  <c r="BC93" i="3" s="1"/>
  <c r="BJ92" i="3"/>
  <c r="BI92" i="3"/>
  <c r="BF92" i="3" s="1"/>
  <c r="BH92" i="3"/>
  <c r="BG92" i="3"/>
  <c r="AR92" i="3"/>
  <c r="AQ92" i="3"/>
  <c r="AP92" i="3"/>
  <c r="AG92" i="3"/>
  <c r="AB92" i="3"/>
  <c r="U92" i="3"/>
  <c r="AA92" i="3" s="1"/>
  <c r="AX92" i="3" s="1"/>
  <c r="R92" i="3"/>
  <c r="G92" i="3" s="1"/>
  <c r="BJ91" i="3"/>
  <c r="BI91" i="3"/>
  <c r="BF91" i="3" s="1"/>
  <c r="BH91" i="3"/>
  <c r="BG91" i="3"/>
  <c r="AR91" i="3"/>
  <c r="AQ91" i="3"/>
  <c r="AP91" i="3"/>
  <c r="AG91" i="3"/>
  <c r="AB91" i="3"/>
  <c r="U91" i="3"/>
  <c r="AA91" i="3" s="1"/>
  <c r="AX91" i="3" s="1"/>
  <c r="R91" i="3"/>
  <c r="G91" i="3" s="1"/>
  <c r="AM91" i="3" s="1"/>
  <c r="BJ90" i="3"/>
  <c r="BI90" i="3"/>
  <c r="BF90" i="3" s="1"/>
  <c r="BH90" i="3"/>
  <c r="BG90" i="3"/>
  <c r="AR90" i="3"/>
  <c r="AQ90" i="3"/>
  <c r="AP90" i="3"/>
  <c r="AG90" i="3"/>
  <c r="AB90" i="3"/>
  <c r="U90" i="3"/>
  <c r="AS90" i="3" s="1"/>
  <c r="R90" i="3"/>
  <c r="BC90" i="3" s="1"/>
  <c r="BJ89" i="3"/>
  <c r="BI89" i="3"/>
  <c r="BF89" i="3" s="1"/>
  <c r="BH89" i="3"/>
  <c r="BG89" i="3"/>
  <c r="AR89" i="3"/>
  <c r="AQ89" i="3"/>
  <c r="AP89" i="3"/>
  <c r="AG89" i="3"/>
  <c r="AB89" i="3"/>
  <c r="U89" i="3"/>
  <c r="R89" i="3"/>
  <c r="G89" i="3" s="1"/>
  <c r="BJ88" i="3"/>
  <c r="BI88" i="3"/>
  <c r="BF88" i="3" s="1"/>
  <c r="BH88" i="3"/>
  <c r="BG88" i="3"/>
  <c r="AR88" i="3"/>
  <c r="AQ88" i="3"/>
  <c r="AP88" i="3"/>
  <c r="AG88" i="3"/>
  <c r="AB88" i="3"/>
  <c r="U88" i="3"/>
  <c r="AS88" i="3" s="1"/>
  <c r="R88" i="3"/>
  <c r="BJ87" i="3"/>
  <c r="BI87" i="3"/>
  <c r="BF87" i="3" s="1"/>
  <c r="BH87" i="3"/>
  <c r="BG87" i="3"/>
  <c r="AR87" i="3"/>
  <c r="AQ87" i="3"/>
  <c r="AP87" i="3"/>
  <c r="AG87" i="3"/>
  <c r="AB87" i="3"/>
  <c r="U87" i="3"/>
  <c r="AA87" i="3" s="1"/>
  <c r="AX87" i="3" s="1"/>
  <c r="R87" i="3"/>
  <c r="BC87" i="3" s="1"/>
  <c r="BJ86" i="3"/>
  <c r="BI86" i="3"/>
  <c r="BF86" i="3" s="1"/>
  <c r="BH86" i="3"/>
  <c r="BG86" i="3"/>
  <c r="AR86" i="3"/>
  <c r="AQ86" i="3"/>
  <c r="AP86" i="3"/>
  <c r="AG86" i="3"/>
  <c r="AB86" i="3"/>
  <c r="U86" i="3"/>
  <c r="AS86" i="3" s="1"/>
  <c r="R86" i="3"/>
  <c r="BJ85" i="3"/>
  <c r="BI85" i="3"/>
  <c r="BF85" i="3" s="1"/>
  <c r="BH85" i="3"/>
  <c r="BG85" i="3"/>
  <c r="AR85" i="3"/>
  <c r="AQ85" i="3"/>
  <c r="AP85" i="3"/>
  <c r="AG85" i="3"/>
  <c r="AB85" i="3"/>
  <c r="U85" i="3"/>
  <c r="AA85" i="3" s="1"/>
  <c r="AX85" i="3" s="1"/>
  <c r="R85" i="3"/>
  <c r="BC85" i="3" s="1"/>
  <c r="BJ84" i="3"/>
  <c r="BI84" i="3"/>
  <c r="BF84" i="3" s="1"/>
  <c r="BH84" i="3"/>
  <c r="BG84" i="3"/>
  <c r="AR84" i="3"/>
  <c r="AQ84" i="3"/>
  <c r="AP84" i="3"/>
  <c r="AG84" i="3"/>
  <c r="AB84" i="3"/>
  <c r="U84" i="3"/>
  <c r="R84" i="3"/>
  <c r="BB84" i="3" s="1"/>
  <c r="BJ83" i="3"/>
  <c r="BI83" i="3"/>
  <c r="BF83" i="3" s="1"/>
  <c r="BH83" i="3"/>
  <c r="BG83" i="3"/>
  <c r="AR83" i="3"/>
  <c r="AQ83" i="3"/>
  <c r="AP83" i="3"/>
  <c r="AG83" i="3"/>
  <c r="AB83" i="3"/>
  <c r="U83" i="3"/>
  <c r="AS83" i="3" s="1"/>
  <c r="AT83" i="3" s="1"/>
  <c r="R83" i="3"/>
  <c r="BJ82" i="3"/>
  <c r="BI82" i="3"/>
  <c r="BF82" i="3" s="1"/>
  <c r="BH82" i="3"/>
  <c r="BG82" i="3"/>
  <c r="AR82" i="3"/>
  <c r="AQ82" i="3"/>
  <c r="AP82" i="3"/>
  <c r="AG82" i="3"/>
  <c r="AB82" i="3"/>
  <c r="U82" i="3"/>
  <c r="AA82" i="3" s="1"/>
  <c r="AX82" i="3" s="1"/>
  <c r="R82" i="3"/>
  <c r="BJ81" i="3"/>
  <c r="BI81" i="3"/>
  <c r="BF81" i="3" s="1"/>
  <c r="BH81" i="3"/>
  <c r="BG81" i="3"/>
  <c r="AR81" i="3"/>
  <c r="AQ81" i="3"/>
  <c r="AP81" i="3"/>
  <c r="AG81" i="3"/>
  <c r="AB81" i="3"/>
  <c r="U81" i="3"/>
  <c r="AA81" i="3" s="1"/>
  <c r="AX81" i="3" s="1"/>
  <c r="R81" i="3"/>
  <c r="G81" i="3" s="1"/>
  <c r="AM81" i="3" s="1"/>
  <c r="BJ80" i="3"/>
  <c r="BI80" i="3"/>
  <c r="BF80" i="3" s="1"/>
  <c r="BH80" i="3"/>
  <c r="BG80" i="3"/>
  <c r="AR80" i="3"/>
  <c r="AQ80" i="3"/>
  <c r="AP80" i="3"/>
  <c r="AG80" i="3"/>
  <c r="AB80" i="3"/>
  <c r="U80" i="3"/>
  <c r="AS80" i="3" s="1"/>
  <c r="AV80" i="3" s="1"/>
  <c r="R80" i="3"/>
  <c r="BB80" i="3" s="1"/>
  <c r="BJ79" i="3"/>
  <c r="BI79" i="3"/>
  <c r="BF79" i="3" s="1"/>
  <c r="BH79" i="3"/>
  <c r="BG79" i="3"/>
  <c r="AR79" i="3"/>
  <c r="AQ79" i="3"/>
  <c r="AP79" i="3"/>
  <c r="AG79" i="3"/>
  <c r="AB79" i="3"/>
  <c r="U79" i="3"/>
  <c r="R79" i="3"/>
  <c r="BC79" i="3" s="1"/>
  <c r="BJ78" i="3"/>
  <c r="BI78" i="3"/>
  <c r="BF78" i="3" s="1"/>
  <c r="BH78" i="3"/>
  <c r="BG78" i="3"/>
  <c r="AR78" i="3"/>
  <c r="AQ78" i="3"/>
  <c r="AP78" i="3"/>
  <c r="AG78" i="3"/>
  <c r="AB78" i="3"/>
  <c r="U78" i="3"/>
  <c r="AS78" i="3" s="1"/>
  <c r="R78" i="3"/>
  <c r="G78" i="3" s="1"/>
  <c r="BJ77" i="3"/>
  <c r="BI77" i="3"/>
  <c r="BF77" i="3" s="1"/>
  <c r="BH77" i="3"/>
  <c r="BG77" i="3"/>
  <c r="AR77" i="3"/>
  <c r="AQ77" i="3"/>
  <c r="AP77" i="3"/>
  <c r="AG77" i="3"/>
  <c r="AB77" i="3"/>
  <c r="U77" i="3"/>
  <c r="AA77" i="3" s="1"/>
  <c r="AX77" i="3" s="1"/>
  <c r="R77" i="3"/>
  <c r="BC77" i="3" s="1"/>
  <c r="BJ76" i="3"/>
  <c r="BI76" i="3"/>
  <c r="BF76" i="3" s="1"/>
  <c r="BH76" i="3"/>
  <c r="BG76" i="3"/>
  <c r="AR76" i="3"/>
  <c r="AQ76" i="3"/>
  <c r="AP76" i="3"/>
  <c r="AG76" i="3"/>
  <c r="AB76" i="3"/>
  <c r="U76" i="3"/>
  <c r="AA76" i="3" s="1"/>
  <c r="AX76" i="3" s="1"/>
  <c r="R76" i="3"/>
  <c r="G76" i="3" s="1"/>
  <c r="AM76" i="3" s="1"/>
  <c r="BJ75" i="3"/>
  <c r="BI75" i="3"/>
  <c r="BF75" i="3" s="1"/>
  <c r="BH75" i="3"/>
  <c r="BG75" i="3"/>
  <c r="AR75" i="3"/>
  <c r="AQ75" i="3"/>
  <c r="AP75" i="3"/>
  <c r="AG75" i="3"/>
  <c r="AB75" i="3"/>
  <c r="U75" i="3"/>
  <c r="AA75" i="3" s="1"/>
  <c r="AX75" i="3" s="1"/>
  <c r="R75" i="3"/>
  <c r="BJ74" i="3"/>
  <c r="BI74" i="3"/>
  <c r="BF74" i="3" s="1"/>
  <c r="BH74" i="3"/>
  <c r="BG74" i="3"/>
  <c r="AR74" i="3"/>
  <c r="AQ74" i="3"/>
  <c r="AP74" i="3"/>
  <c r="AG74" i="3"/>
  <c r="AB74" i="3"/>
  <c r="U74" i="3"/>
  <c r="AA74" i="3" s="1"/>
  <c r="AX74" i="3" s="1"/>
  <c r="R74" i="3"/>
  <c r="BB74" i="3" s="1"/>
  <c r="BJ73" i="3"/>
  <c r="BI73" i="3"/>
  <c r="BF73" i="3" s="1"/>
  <c r="BH73" i="3"/>
  <c r="BG73" i="3"/>
  <c r="AR73" i="3"/>
  <c r="AQ73" i="3"/>
  <c r="AP73" i="3"/>
  <c r="AG73" i="3"/>
  <c r="AB73" i="3"/>
  <c r="U73" i="3"/>
  <c r="R73" i="3"/>
  <c r="BC73" i="3" s="1"/>
  <c r="BJ72" i="3"/>
  <c r="BI72" i="3"/>
  <c r="BF72" i="3" s="1"/>
  <c r="BH72" i="3"/>
  <c r="BG72" i="3"/>
  <c r="AR72" i="3"/>
  <c r="AQ72" i="3"/>
  <c r="AP72" i="3"/>
  <c r="AG72" i="3"/>
  <c r="AB72" i="3"/>
  <c r="U72" i="3"/>
  <c r="AA72" i="3" s="1"/>
  <c r="AX72" i="3" s="1"/>
  <c r="R72" i="3"/>
  <c r="BB72" i="3" s="1"/>
  <c r="BJ71" i="3"/>
  <c r="BI71" i="3"/>
  <c r="BF71" i="3" s="1"/>
  <c r="BH71" i="3"/>
  <c r="BG71" i="3"/>
  <c r="AR71" i="3"/>
  <c r="AQ71" i="3"/>
  <c r="AP71" i="3"/>
  <c r="AG71" i="3"/>
  <c r="AB71" i="3"/>
  <c r="U71" i="3"/>
  <c r="AS71" i="3" s="1"/>
  <c r="R71" i="3"/>
  <c r="BB71" i="3" s="1"/>
  <c r="BJ70" i="3"/>
  <c r="BI70" i="3"/>
  <c r="BF70" i="3" s="1"/>
  <c r="BH70" i="3"/>
  <c r="BG70" i="3"/>
  <c r="AR70" i="3"/>
  <c r="AQ70" i="3"/>
  <c r="AP70" i="3"/>
  <c r="AG70" i="3"/>
  <c r="AB70" i="3"/>
  <c r="U70" i="3"/>
  <c r="AS70" i="3" s="1"/>
  <c r="R70" i="3"/>
  <c r="BJ69" i="3"/>
  <c r="BI69" i="3"/>
  <c r="BF69" i="3" s="1"/>
  <c r="BH69" i="3"/>
  <c r="BG69" i="3"/>
  <c r="AR69" i="3"/>
  <c r="AQ69" i="3"/>
  <c r="AP69" i="3"/>
  <c r="AG69" i="3"/>
  <c r="AB69" i="3"/>
  <c r="U69" i="3"/>
  <c r="R69" i="3"/>
  <c r="BB69" i="3" s="1"/>
  <c r="G69" i="3"/>
  <c r="AM69" i="3" s="1"/>
  <c r="BJ68" i="3"/>
  <c r="BI68" i="3"/>
  <c r="BF68" i="3" s="1"/>
  <c r="BH68" i="3"/>
  <c r="BG68" i="3"/>
  <c r="AR68" i="3"/>
  <c r="AQ68" i="3"/>
  <c r="AP68" i="3"/>
  <c r="AG68" i="3"/>
  <c r="AB68" i="3"/>
  <c r="U68" i="3"/>
  <c r="R68" i="3"/>
  <c r="BJ67" i="3"/>
  <c r="BI67" i="3"/>
  <c r="BF67" i="3" s="1"/>
  <c r="BH67" i="3"/>
  <c r="BG67" i="3"/>
  <c r="AR67" i="3"/>
  <c r="AQ67" i="3"/>
  <c r="AP67" i="3"/>
  <c r="AG67" i="3"/>
  <c r="AB67" i="3"/>
  <c r="U67" i="3"/>
  <c r="AS67" i="3" s="1"/>
  <c r="AT67" i="3" s="1"/>
  <c r="R67" i="3"/>
  <c r="BJ66" i="3"/>
  <c r="BI66" i="3"/>
  <c r="BF66" i="3" s="1"/>
  <c r="BH66" i="3"/>
  <c r="BG66" i="3"/>
  <c r="AR66" i="3"/>
  <c r="AQ66" i="3"/>
  <c r="AP66" i="3"/>
  <c r="AG66" i="3"/>
  <c r="AB66" i="3"/>
  <c r="U66" i="3"/>
  <c r="R66" i="3"/>
  <c r="BC66" i="3" s="1"/>
  <c r="BJ65" i="3"/>
  <c r="BI65" i="3"/>
  <c r="BF65" i="3" s="1"/>
  <c r="BH65" i="3"/>
  <c r="BG65" i="3"/>
  <c r="AR65" i="3"/>
  <c r="AQ65" i="3"/>
  <c r="AP65" i="3"/>
  <c r="AG65" i="3"/>
  <c r="AB65" i="3"/>
  <c r="U65" i="3"/>
  <c r="AS65" i="3" s="1"/>
  <c r="R65" i="3"/>
  <c r="BC65" i="3" s="1"/>
  <c r="BJ64" i="3"/>
  <c r="BI64" i="3"/>
  <c r="BF64" i="3" s="1"/>
  <c r="BH64" i="3"/>
  <c r="BG64" i="3"/>
  <c r="AR64" i="3"/>
  <c r="AQ64" i="3"/>
  <c r="AP64" i="3"/>
  <c r="AG64" i="3"/>
  <c r="AB64" i="3"/>
  <c r="U64" i="3"/>
  <c r="AS64" i="3" s="1"/>
  <c r="R64" i="3"/>
  <c r="G64" i="3"/>
  <c r="AM64" i="3" s="1"/>
  <c r="BJ63" i="3"/>
  <c r="BI63" i="3"/>
  <c r="BF63" i="3" s="1"/>
  <c r="BH63" i="3"/>
  <c r="BG63" i="3"/>
  <c r="AR63" i="3"/>
  <c r="AQ63" i="3"/>
  <c r="AP63" i="3"/>
  <c r="AG63" i="3"/>
  <c r="AB63" i="3"/>
  <c r="U63" i="3"/>
  <c r="R63" i="3"/>
  <c r="BC63" i="3" s="1"/>
  <c r="BJ62" i="3"/>
  <c r="BI62" i="3"/>
  <c r="BF62" i="3" s="1"/>
  <c r="BH62" i="3"/>
  <c r="BG62" i="3"/>
  <c r="AR62" i="3"/>
  <c r="AQ62" i="3"/>
  <c r="AP62" i="3"/>
  <c r="AG62" i="3"/>
  <c r="AB62" i="3"/>
  <c r="U62" i="3"/>
  <c r="AS62" i="3" s="1"/>
  <c r="R62" i="3"/>
  <c r="G62" i="3" s="1"/>
  <c r="BJ61" i="3"/>
  <c r="BI61" i="3"/>
  <c r="BF61" i="3" s="1"/>
  <c r="BH61" i="3"/>
  <c r="BG61" i="3"/>
  <c r="AR61" i="3"/>
  <c r="AQ61" i="3"/>
  <c r="AP61" i="3"/>
  <c r="AG61" i="3"/>
  <c r="AB61" i="3"/>
  <c r="U61" i="3"/>
  <c r="AS61" i="3" s="1"/>
  <c r="R61" i="3"/>
  <c r="BC61" i="3" s="1"/>
  <c r="BJ60" i="3"/>
  <c r="BI60" i="3"/>
  <c r="BF60" i="3" s="1"/>
  <c r="BH60" i="3"/>
  <c r="BG60" i="3"/>
  <c r="AR60" i="3"/>
  <c r="AQ60" i="3"/>
  <c r="AP60" i="3"/>
  <c r="AG60" i="3"/>
  <c r="AB60" i="3"/>
  <c r="U60" i="3"/>
  <c r="AS60" i="3" s="1"/>
  <c r="AT60" i="3" s="1"/>
  <c r="R60" i="3"/>
  <c r="BB60" i="3" s="1"/>
  <c r="BJ59" i="3"/>
  <c r="BI59" i="3"/>
  <c r="BF59" i="3" s="1"/>
  <c r="BH59" i="3"/>
  <c r="BG59" i="3"/>
  <c r="AR59" i="3"/>
  <c r="AQ59" i="3"/>
  <c r="AP59" i="3"/>
  <c r="AG59" i="3"/>
  <c r="AB59" i="3"/>
  <c r="U59" i="3"/>
  <c r="AA59" i="3" s="1"/>
  <c r="AX59" i="3" s="1"/>
  <c r="R59" i="3"/>
  <c r="BJ58" i="3"/>
  <c r="BI58" i="3"/>
  <c r="BF58" i="3" s="1"/>
  <c r="BH58" i="3"/>
  <c r="BG58" i="3"/>
  <c r="AR58" i="3"/>
  <c r="AQ58" i="3"/>
  <c r="AP58" i="3"/>
  <c r="AG58" i="3"/>
  <c r="AB58" i="3"/>
  <c r="U58" i="3"/>
  <c r="AA58" i="3" s="1"/>
  <c r="AX58" i="3" s="1"/>
  <c r="R58" i="3"/>
  <c r="BC58" i="3" s="1"/>
  <c r="BJ57" i="3"/>
  <c r="BI57" i="3"/>
  <c r="BF57" i="3" s="1"/>
  <c r="BH57" i="3"/>
  <c r="BG57" i="3"/>
  <c r="AR57" i="3"/>
  <c r="AQ57" i="3"/>
  <c r="AP57" i="3"/>
  <c r="AG57" i="3"/>
  <c r="AB57" i="3"/>
  <c r="U57" i="3"/>
  <c r="R57" i="3"/>
  <c r="G57" i="3" s="1"/>
  <c r="BJ56" i="3"/>
  <c r="BI56" i="3"/>
  <c r="BF56" i="3" s="1"/>
  <c r="BH56" i="3"/>
  <c r="BG56" i="3"/>
  <c r="AR56" i="3"/>
  <c r="AQ56" i="3"/>
  <c r="AP56" i="3"/>
  <c r="AG56" i="3"/>
  <c r="AB56" i="3"/>
  <c r="U56" i="3"/>
  <c r="AA56" i="3" s="1"/>
  <c r="AX56" i="3" s="1"/>
  <c r="R56" i="3"/>
  <c r="BJ55" i="3"/>
  <c r="BI55" i="3"/>
  <c r="BF55" i="3" s="1"/>
  <c r="BH55" i="3"/>
  <c r="BG55" i="3"/>
  <c r="AR55" i="3"/>
  <c r="AQ55" i="3"/>
  <c r="AP55" i="3"/>
  <c r="AG55" i="3"/>
  <c r="AB55" i="3"/>
  <c r="U55" i="3"/>
  <c r="AS55" i="3" s="1"/>
  <c r="R55" i="3"/>
  <c r="BC55" i="3" s="1"/>
  <c r="BJ54" i="3"/>
  <c r="BI54" i="3"/>
  <c r="BF54" i="3" s="1"/>
  <c r="BH54" i="3"/>
  <c r="BG54" i="3"/>
  <c r="AR54" i="3"/>
  <c r="AQ54" i="3"/>
  <c r="AP54" i="3"/>
  <c r="AG54" i="3"/>
  <c r="AB54" i="3"/>
  <c r="U54" i="3"/>
  <c r="AS54" i="3" s="1"/>
  <c r="R54" i="3"/>
  <c r="G54" i="3" s="1"/>
  <c r="AM54" i="3" s="1"/>
  <c r="BJ53" i="3"/>
  <c r="BI53" i="3"/>
  <c r="BF53" i="3" s="1"/>
  <c r="BH53" i="3"/>
  <c r="BG53" i="3"/>
  <c r="AR53" i="3"/>
  <c r="AQ53" i="3"/>
  <c r="AP53" i="3"/>
  <c r="AG53" i="3"/>
  <c r="AB53" i="3"/>
  <c r="U53" i="3"/>
  <c r="AS53" i="3" s="1"/>
  <c r="R53" i="3"/>
  <c r="BC53" i="3" s="1"/>
  <c r="BJ52" i="3"/>
  <c r="BI52" i="3"/>
  <c r="BF52" i="3" s="1"/>
  <c r="BH52" i="3"/>
  <c r="BG52" i="3"/>
  <c r="AR52" i="3"/>
  <c r="AQ52" i="3"/>
  <c r="AP52" i="3"/>
  <c r="AG52" i="3"/>
  <c r="AB52" i="3"/>
  <c r="U52" i="3"/>
  <c r="AS52" i="3" s="1"/>
  <c r="R52" i="3"/>
  <c r="BC52" i="3" s="1"/>
  <c r="BJ51" i="3"/>
  <c r="BI51" i="3"/>
  <c r="BF51" i="3" s="1"/>
  <c r="BH51" i="3"/>
  <c r="BG51" i="3"/>
  <c r="AR51" i="3"/>
  <c r="AQ51" i="3"/>
  <c r="AP51" i="3"/>
  <c r="AG51" i="3"/>
  <c r="AB51" i="3"/>
  <c r="U51" i="3"/>
  <c r="R51" i="3"/>
  <c r="BJ50" i="3"/>
  <c r="BI50" i="3"/>
  <c r="BF50" i="3" s="1"/>
  <c r="BH50" i="3"/>
  <c r="BG50" i="3"/>
  <c r="AR50" i="3"/>
  <c r="AQ50" i="3"/>
  <c r="AP50" i="3"/>
  <c r="AG50" i="3"/>
  <c r="AB50" i="3"/>
  <c r="U50" i="3"/>
  <c r="R50" i="3"/>
  <c r="BB50" i="3" s="1"/>
  <c r="BJ49" i="3"/>
  <c r="BI49" i="3"/>
  <c r="BF49" i="3" s="1"/>
  <c r="BH49" i="3"/>
  <c r="BG49" i="3"/>
  <c r="AR49" i="3"/>
  <c r="AQ49" i="3"/>
  <c r="AP49" i="3"/>
  <c r="AG49" i="3"/>
  <c r="AB49" i="3"/>
  <c r="U49" i="3"/>
  <c r="AS49" i="3" s="1"/>
  <c r="AV49" i="3" s="1"/>
  <c r="R49" i="3"/>
  <c r="BC49" i="3" s="1"/>
  <c r="BJ48" i="3"/>
  <c r="BI48" i="3"/>
  <c r="BF48" i="3" s="1"/>
  <c r="BH48" i="3"/>
  <c r="BG48" i="3"/>
  <c r="AR48" i="3"/>
  <c r="AQ48" i="3"/>
  <c r="AP48" i="3"/>
  <c r="AG48" i="3"/>
  <c r="AB48" i="3"/>
  <c r="U48" i="3"/>
  <c r="R48" i="3"/>
  <c r="G48" i="3" s="1"/>
  <c r="AM48" i="3" s="1"/>
  <c r="BJ47" i="3"/>
  <c r="BI47" i="3"/>
  <c r="BF47" i="3" s="1"/>
  <c r="BH47" i="3"/>
  <c r="BG47" i="3"/>
  <c r="AR47" i="3"/>
  <c r="AQ47" i="3"/>
  <c r="AP47" i="3"/>
  <c r="AG47" i="3"/>
  <c r="AB47" i="3"/>
  <c r="U47" i="3"/>
  <c r="R47" i="3"/>
  <c r="BJ46" i="3"/>
  <c r="BI46" i="3"/>
  <c r="BF46" i="3" s="1"/>
  <c r="BH46" i="3"/>
  <c r="BG46" i="3"/>
  <c r="AR46" i="3"/>
  <c r="AQ46" i="3"/>
  <c r="AP46" i="3"/>
  <c r="AG46" i="3"/>
  <c r="AB46" i="3"/>
  <c r="U46" i="3"/>
  <c r="R46" i="3"/>
  <c r="BC46" i="3" s="1"/>
  <c r="BJ45" i="3"/>
  <c r="BI45" i="3"/>
  <c r="BF45" i="3" s="1"/>
  <c r="BH45" i="3"/>
  <c r="BG45" i="3"/>
  <c r="AR45" i="3"/>
  <c r="AQ45" i="3"/>
  <c r="AP45" i="3"/>
  <c r="AG45" i="3"/>
  <c r="AB45" i="3"/>
  <c r="U45" i="3"/>
  <c r="AA45" i="3" s="1"/>
  <c r="AX45" i="3" s="1"/>
  <c r="R45" i="3"/>
  <c r="BJ44" i="3"/>
  <c r="BI44" i="3"/>
  <c r="BF44" i="3" s="1"/>
  <c r="BH44" i="3"/>
  <c r="BG44" i="3"/>
  <c r="AR44" i="3"/>
  <c r="AQ44" i="3"/>
  <c r="AP44" i="3"/>
  <c r="AG44" i="3"/>
  <c r="AB44" i="3"/>
  <c r="U44" i="3"/>
  <c r="AA44" i="3" s="1"/>
  <c r="AX44" i="3" s="1"/>
  <c r="R44" i="3"/>
  <c r="BC44" i="3" s="1"/>
  <c r="BJ43" i="3"/>
  <c r="BI43" i="3"/>
  <c r="BF43" i="3" s="1"/>
  <c r="BH43" i="3"/>
  <c r="BG43" i="3"/>
  <c r="AR43" i="3"/>
  <c r="AQ43" i="3"/>
  <c r="AP43" i="3"/>
  <c r="AG43" i="3"/>
  <c r="AB43" i="3"/>
  <c r="U43" i="3"/>
  <c r="AA43" i="3" s="1"/>
  <c r="AX43" i="3" s="1"/>
  <c r="R43" i="3"/>
  <c r="BJ42" i="3"/>
  <c r="BI42" i="3"/>
  <c r="BF42" i="3" s="1"/>
  <c r="BH42" i="3"/>
  <c r="BG42" i="3"/>
  <c r="AR42" i="3"/>
  <c r="AQ42" i="3"/>
  <c r="AP42" i="3"/>
  <c r="AG42" i="3"/>
  <c r="AB42" i="3"/>
  <c r="U42" i="3"/>
  <c r="AA42" i="3" s="1"/>
  <c r="AX42" i="3" s="1"/>
  <c r="R42" i="3"/>
  <c r="G42" i="3" s="1"/>
  <c r="BJ41" i="3"/>
  <c r="BI41" i="3"/>
  <c r="BF41" i="3" s="1"/>
  <c r="BH41" i="3"/>
  <c r="BG41" i="3"/>
  <c r="AR41" i="3"/>
  <c r="AQ41" i="3"/>
  <c r="AP41" i="3"/>
  <c r="AG41" i="3"/>
  <c r="AB41" i="3"/>
  <c r="U41" i="3"/>
  <c r="R41" i="3"/>
  <c r="BB41" i="3" s="1"/>
  <c r="BJ40" i="3"/>
  <c r="BI40" i="3"/>
  <c r="BF40" i="3" s="1"/>
  <c r="BH40" i="3"/>
  <c r="BG40" i="3"/>
  <c r="AR40" i="3"/>
  <c r="AQ40" i="3"/>
  <c r="AP40" i="3"/>
  <c r="AG40" i="3"/>
  <c r="AB40" i="3"/>
  <c r="U40" i="3"/>
  <c r="AA40" i="3" s="1"/>
  <c r="AX40" i="3" s="1"/>
  <c r="R40" i="3"/>
  <c r="G40" i="3" s="1"/>
  <c r="BJ39" i="3"/>
  <c r="BI39" i="3"/>
  <c r="BF39" i="3" s="1"/>
  <c r="BH39" i="3"/>
  <c r="BG39" i="3"/>
  <c r="AR39" i="3"/>
  <c r="AQ39" i="3"/>
  <c r="AP39" i="3"/>
  <c r="AG39" i="3"/>
  <c r="AB39" i="3"/>
  <c r="U39" i="3"/>
  <c r="R39" i="3"/>
  <c r="BC39" i="3" s="1"/>
  <c r="BJ38" i="3"/>
  <c r="BI38" i="3"/>
  <c r="BF38" i="3" s="1"/>
  <c r="BH38" i="3"/>
  <c r="BG38" i="3"/>
  <c r="AR38" i="3"/>
  <c r="AQ38" i="3"/>
  <c r="AP38" i="3"/>
  <c r="AG38" i="3"/>
  <c r="AB38" i="3"/>
  <c r="U38" i="3"/>
  <c r="AA38" i="3" s="1"/>
  <c r="AX38" i="3" s="1"/>
  <c r="R38" i="3"/>
  <c r="G38" i="3" s="1"/>
  <c r="BK38" i="3" s="1"/>
  <c r="BJ37" i="3"/>
  <c r="BI37" i="3"/>
  <c r="BF37" i="3" s="1"/>
  <c r="BH37" i="3"/>
  <c r="BG37" i="3"/>
  <c r="AR37" i="3"/>
  <c r="AQ37" i="3"/>
  <c r="AP37" i="3"/>
  <c r="AG37" i="3"/>
  <c r="AB37" i="3"/>
  <c r="U37" i="3"/>
  <c r="AS37" i="3" s="1"/>
  <c r="AV37" i="3" s="1"/>
  <c r="R37" i="3"/>
  <c r="G37" i="3"/>
  <c r="AM37" i="3" s="1"/>
  <c r="BJ36" i="3"/>
  <c r="BI36" i="3"/>
  <c r="BF36" i="3" s="1"/>
  <c r="BH36" i="3"/>
  <c r="BG36" i="3"/>
  <c r="AR36" i="3"/>
  <c r="AQ36" i="3"/>
  <c r="AP36" i="3"/>
  <c r="AG36" i="3"/>
  <c r="AB36" i="3"/>
  <c r="U36" i="3"/>
  <c r="R36" i="3"/>
  <c r="BC36" i="3" s="1"/>
  <c r="BJ35" i="3"/>
  <c r="BI35" i="3"/>
  <c r="BF35" i="3" s="1"/>
  <c r="BH35" i="3"/>
  <c r="BG35" i="3"/>
  <c r="AR35" i="3"/>
  <c r="AQ35" i="3"/>
  <c r="AP35" i="3"/>
  <c r="AG35" i="3"/>
  <c r="AB35" i="3"/>
  <c r="U35" i="3"/>
  <c r="R35" i="3"/>
  <c r="BB35" i="3" s="1"/>
  <c r="BJ34" i="3"/>
  <c r="BI34" i="3"/>
  <c r="BF34" i="3" s="1"/>
  <c r="BH34" i="3"/>
  <c r="BG34" i="3"/>
  <c r="AR34" i="3"/>
  <c r="AQ34" i="3"/>
  <c r="AP34" i="3"/>
  <c r="AG34" i="3"/>
  <c r="AB34" i="3"/>
  <c r="U34" i="3"/>
  <c r="AA34" i="3" s="1"/>
  <c r="AX34" i="3" s="1"/>
  <c r="R34" i="3"/>
  <c r="BJ33" i="3"/>
  <c r="BI33" i="3"/>
  <c r="BF33" i="3" s="1"/>
  <c r="BH33" i="3"/>
  <c r="BG33" i="3"/>
  <c r="AR33" i="3"/>
  <c r="AQ33" i="3"/>
  <c r="AP33" i="3"/>
  <c r="AG33" i="3"/>
  <c r="AB33" i="3"/>
  <c r="U33" i="3"/>
  <c r="AS33" i="3" s="1"/>
  <c r="R33" i="3"/>
  <c r="BC33" i="3" s="1"/>
  <c r="BJ32" i="3"/>
  <c r="BI32" i="3"/>
  <c r="BF32" i="3" s="1"/>
  <c r="BH32" i="3"/>
  <c r="BG32" i="3"/>
  <c r="AR32" i="3"/>
  <c r="AQ32" i="3"/>
  <c r="AP32" i="3"/>
  <c r="AG32" i="3"/>
  <c r="AB32" i="3"/>
  <c r="U32" i="3"/>
  <c r="R32" i="3"/>
  <c r="BJ31" i="3"/>
  <c r="BI31" i="3"/>
  <c r="BF31" i="3" s="1"/>
  <c r="BH31" i="3"/>
  <c r="BG31" i="3"/>
  <c r="AR31" i="3"/>
  <c r="AQ31" i="3"/>
  <c r="AP31" i="3"/>
  <c r="AG31" i="3"/>
  <c r="AB31" i="3"/>
  <c r="U31" i="3"/>
  <c r="R31" i="3"/>
  <c r="BC31" i="3" s="1"/>
  <c r="BJ30" i="3"/>
  <c r="BI30" i="3"/>
  <c r="BF30" i="3" s="1"/>
  <c r="BH30" i="3"/>
  <c r="BG30" i="3"/>
  <c r="AR30" i="3"/>
  <c r="AQ30" i="3"/>
  <c r="AP30" i="3"/>
  <c r="AG30" i="3"/>
  <c r="AB30" i="3"/>
  <c r="U30" i="3"/>
  <c r="AS30" i="3" s="1"/>
  <c r="AT30" i="3" s="1"/>
  <c r="AU30" i="3" s="1"/>
  <c r="R30" i="3"/>
  <c r="G30" i="3" s="1"/>
  <c r="BJ29" i="3"/>
  <c r="BI29" i="3"/>
  <c r="BF29" i="3" s="1"/>
  <c r="BH29" i="3"/>
  <c r="BG29" i="3"/>
  <c r="AR29" i="3"/>
  <c r="AQ29" i="3"/>
  <c r="AP29" i="3"/>
  <c r="AG29" i="3"/>
  <c r="AB29" i="3"/>
  <c r="U29" i="3"/>
  <c r="AA29" i="3" s="1"/>
  <c r="AX29" i="3" s="1"/>
  <c r="R29" i="3"/>
  <c r="G29" i="3" s="1"/>
  <c r="AM29" i="3" s="1"/>
  <c r="BJ28" i="3"/>
  <c r="BI28" i="3"/>
  <c r="BF28" i="3" s="1"/>
  <c r="BH28" i="3"/>
  <c r="BG28" i="3"/>
  <c r="AR28" i="3"/>
  <c r="AQ28" i="3"/>
  <c r="AP28" i="3"/>
  <c r="AG28" i="3"/>
  <c r="AB28" i="3"/>
  <c r="U28" i="3"/>
  <c r="AA28" i="3" s="1"/>
  <c r="AX28" i="3" s="1"/>
  <c r="R28" i="3"/>
  <c r="G28" i="3" s="1"/>
  <c r="BJ27" i="3"/>
  <c r="BI27" i="3"/>
  <c r="BF27" i="3" s="1"/>
  <c r="BH27" i="3"/>
  <c r="BG27" i="3"/>
  <c r="AR27" i="3"/>
  <c r="AQ27" i="3"/>
  <c r="AP27" i="3"/>
  <c r="AG27" i="3"/>
  <c r="AB27" i="3"/>
  <c r="U27" i="3"/>
  <c r="R27" i="3"/>
  <c r="G27" i="3" s="1"/>
  <c r="BK27" i="3" s="1"/>
  <c r="BJ26" i="3"/>
  <c r="BI26" i="3"/>
  <c r="BF26" i="3" s="1"/>
  <c r="BH26" i="3"/>
  <c r="BG26" i="3"/>
  <c r="AR26" i="3"/>
  <c r="AQ26" i="3"/>
  <c r="AP26" i="3"/>
  <c r="AG26" i="3"/>
  <c r="AB26" i="3"/>
  <c r="U26" i="3"/>
  <c r="AS26" i="3" s="1"/>
  <c r="R26" i="3"/>
  <c r="BB26" i="3" s="1"/>
  <c r="BJ25" i="3"/>
  <c r="BI25" i="3"/>
  <c r="BF25" i="3" s="1"/>
  <c r="BH25" i="3"/>
  <c r="BG25" i="3"/>
  <c r="AR25" i="3"/>
  <c r="AQ25" i="3"/>
  <c r="AP25" i="3"/>
  <c r="AG25" i="3"/>
  <c r="AB25" i="3"/>
  <c r="U25" i="3"/>
  <c r="AA25" i="3" s="1"/>
  <c r="AX25" i="3" s="1"/>
  <c r="R25" i="3"/>
  <c r="BC25" i="3" s="1"/>
  <c r="BJ24" i="3"/>
  <c r="BI24" i="3"/>
  <c r="BF24" i="3" s="1"/>
  <c r="BH24" i="3"/>
  <c r="BG24" i="3"/>
  <c r="AR24" i="3"/>
  <c r="AQ24" i="3"/>
  <c r="AP24" i="3"/>
  <c r="AG24" i="3"/>
  <c r="AB24" i="3"/>
  <c r="U24" i="3"/>
  <c r="AS24" i="3" s="1"/>
  <c r="AT24" i="3" s="1"/>
  <c r="R24" i="3"/>
  <c r="BJ23" i="3"/>
  <c r="BI23" i="3"/>
  <c r="BF23" i="3" s="1"/>
  <c r="BH23" i="3"/>
  <c r="BG23" i="3"/>
  <c r="AR23" i="3"/>
  <c r="AQ23" i="3"/>
  <c r="AP23" i="3"/>
  <c r="M33" i="2" s="1"/>
  <c r="AG23" i="3"/>
  <c r="AB23" i="3"/>
  <c r="U23" i="3"/>
  <c r="H33" i="2" s="1"/>
  <c r="R23" i="3"/>
  <c r="BC23" i="3" s="1"/>
  <c r="BJ22" i="3"/>
  <c r="BI22" i="3"/>
  <c r="BF22" i="3" s="1"/>
  <c r="BH22" i="3"/>
  <c r="BG22" i="3"/>
  <c r="AR22" i="3"/>
  <c r="AQ22" i="3"/>
  <c r="AP22" i="3"/>
  <c r="M32" i="2" s="1"/>
  <c r="AG22" i="3"/>
  <c r="AB22" i="3"/>
  <c r="U22" i="3"/>
  <c r="H32" i="2" s="1"/>
  <c r="R22" i="3"/>
  <c r="BJ21" i="3"/>
  <c r="BI21" i="3"/>
  <c r="BF21" i="3" s="1"/>
  <c r="BH21" i="3"/>
  <c r="BG21" i="3"/>
  <c r="AR21" i="3"/>
  <c r="AQ21" i="3"/>
  <c r="AP21" i="3"/>
  <c r="M31" i="2" s="1"/>
  <c r="AG21" i="3"/>
  <c r="AB21" i="3"/>
  <c r="U21" i="3"/>
  <c r="AS21" i="3" s="1"/>
  <c r="R21" i="3"/>
  <c r="BJ20" i="3"/>
  <c r="BI20" i="3"/>
  <c r="BF20" i="3" s="1"/>
  <c r="BH20" i="3"/>
  <c r="BG20" i="3"/>
  <c r="AR20" i="3"/>
  <c r="AQ20" i="3"/>
  <c r="AP20" i="3"/>
  <c r="M30" i="2" s="1"/>
  <c r="AG20" i="3"/>
  <c r="AB20" i="3"/>
  <c r="U20" i="3"/>
  <c r="R20" i="3"/>
  <c r="BB20" i="3" s="1"/>
  <c r="BJ19" i="3"/>
  <c r="BI19" i="3"/>
  <c r="BF19" i="3" s="1"/>
  <c r="BH19" i="3"/>
  <c r="BG19" i="3"/>
  <c r="AR19" i="3"/>
  <c r="AQ19" i="3"/>
  <c r="AP19" i="3"/>
  <c r="M29" i="2" s="1"/>
  <c r="AG19" i="3"/>
  <c r="AB19" i="3"/>
  <c r="U19" i="3"/>
  <c r="H29" i="2" s="1"/>
  <c r="R19" i="3"/>
  <c r="BC19" i="3" s="1"/>
  <c r="BJ18" i="3"/>
  <c r="BI18" i="3"/>
  <c r="BF18" i="3" s="1"/>
  <c r="BH18" i="3"/>
  <c r="BG18" i="3"/>
  <c r="AR18" i="3"/>
  <c r="AQ18" i="3"/>
  <c r="AP18" i="3"/>
  <c r="M28" i="2" s="1"/>
  <c r="AG18" i="3"/>
  <c r="AB18" i="3"/>
  <c r="U18" i="3"/>
  <c r="H28" i="2" s="1"/>
  <c r="R18" i="3"/>
  <c r="BB18" i="3" s="1"/>
  <c r="BJ17" i="3"/>
  <c r="BI17" i="3"/>
  <c r="BF17" i="3" s="1"/>
  <c r="BH17" i="3"/>
  <c r="BG17" i="3"/>
  <c r="AR17" i="3"/>
  <c r="AQ17" i="3"/>
  <c r="AP17" i="3"/>
  <c r="M27" i="2" s="1"/>
  <c r="AG17" i="3"/>
  <c r="AB17" i="3"/>
  <c r="U17" i="3"/>
  <c r="AA17" i="3" s="1"/>
  <c r="AX17" i="3" s="1"/>
  <c r="R17" i="3"/>
  <c r="BB17" i="3" s="1"/>
  <c r="BJ16" i="3"/>
  <c r="BI16" i="3"/>
  <c r="BF16" i="3" s="1"/>
  <c r="BH16" i="3"/>
  <c r="BG16" i="3"/>
  <c r="AQ16" i="3"/>
  <c r="AG16" i="3"/>
  <c r="AB16" i="3"/>
  <c r="U16" i="3"/>
  <c r="R16" i="3"/>
  <c r="BB16" i="3" s="1"/>
  <c r="BJ15" i="3"/>
  <c r="BI15" i="3"/>
  <c r="BF15" i="3" s="1"/>
  <c r="BH15" i="3"/>
  <c r="BG15" i="3"/>
  <c r="AQ15" i="3"/>
  <c r="AG15" i="3"/>
  <c r="AB15" i="3"/>
  <c r="U15" i="3"/>
  <c r="H25" i="2" s="1"/>
  <c r="R15" i="3"/>
  <c r="BC15" i="3" s="1"/>
  <c r="BJ14" i="3"/>
  <c r="BI14" i="3"/>
  <c r="BF14" i="3" s="1"/>
  <c r="BH14" i="3"/>
  <c r="BG14" i="3"/>
  <c r="AR14" i="3"/>
  <c r="AQ14" i="3"/>
  <c r="AG14" i="3"/>
  <c r="AB14" i="3"/>
  <c r="U14" i="3"/>
  <c r="AS14" i="3" s="1"/>
  <c r="R14" i="3"/>
  <c r="BJ13" i="3"/>
  <c r="BI13" i="3"/>
  <c r="BF13" i="3" s="1"/>
  <c r="BH13" i="3"/>
  <c r="BG13" i="3"/>
  <c r="AR13" i="3"/>
  <c r="AQ13" i="3"/>
  <c r="AG13" i="3"/>
  <c r="AB13" i="3"/>
  <c r="U13" i="3"/>
  <c r="AS13" i="3" s="1"/>
  <c r="AT13" i="3" s="1"/>
  <c r="R13" i="3"/>
  <c r="BC13" i="3" s="1"/>
  <c r="BJ12" i="3"/>
  <c r="BI12" i="3"/>
  <c r="BF12" i="3" s="1"/>
  <c r="BH12" i="3"/>
  <c r="BG12" i="3"/>
  <c r="AR12" i="3"/>
  <c r="AQ12" i="3"/>
  <c r="AG12" i="3"/>
  <c r="AB12" i="3"/>
  <c r="U12" i="3"/>
  <c r="AS12" i="3" s="1"/>
  <c r="R12" i="3"/>
  <c r="BJ11" i="3"/>
  <c r="BI11" i="3"/>
  <c r="BF11" i="3" s="1"/>
  <c r="BH11" i="3"/>
  <c r="BG11" i="3"/>
  <c r="AR11" i="3"/>
  <c r="AQ11" i="3"/>
  <c r="AG11" i="3"/>
  <c r="AB11" i="3"/>
  <c r="U11" i="3"/>
  <c r="AS11" i="3" s="1"/>
  <c r="R11" i="3"/>
  <c r="BB11" i="3" s="1"/>
  <c r="BJ10" i="3"/>
  <c r="BI10" i="3"/>
  <c r="BF10" i="3" s="1"/>
  <c r="BH10" i="3"/>
  <c r="BG10" i="3"/>
  <c r="AR10" i="3"/>
  <c r="AQ10" i="3"/>
  <c r="AG10" i="3"/>
  <c r="AB10" i="3"/>
  <c r="U10" i="3"/>
  <c r="AS10" i="3" s="1"/>
  <c r="AV10" i="3" s="1"/>
  <c r="R10" i="3"/>
  <c r="BB10" i="3" s="1"/>
  <c r="BJ9" i="3"/>
  <c r="BI9" i="3"/>
  <c r="BF9" i="3" s="1"/>
  <c r="BH9" i="3"/>
  <c r="BG9" i="3"/>
  <c r="AR9" i="3"/>
  <c r="AQ9" i="3"/>
  <c r="AG9" i="3"/>
  <c r="AB9" i="3"/>
  <c r="U9" i="3"/>
  <c r="AS9" i="3" s="1"/>
  <c r="R9" i="3"/>
  <c r="BC9" i="3" s="1"/>
  <c r="BJ8" i="3"/>
  <c r="BI8" i="3"/>
  <c r="BF8" i="3" s="1"/>
  <c r="BH8" i="3"/>
  <c r="BG8" i="3"/>
  <c r="AR8" i="3"/>
  <c r="AQ8" i="3"/>
  <c r="AG8" i="3"/>
  <c r="AB8" i="3"/>
  <c r="U8" i="3"/>
  <c r="H18" i="2" s="1"/>
  <c r="R8" i="3"/>
  <c r="BC8" i="3" s="1"/>
  <c r="BJ7" i="3"/>
  <c r="BI7" i="3"/>
  <c r="BF7" i="3" s="1"/>
  <c r="BH7" i="3"/>
  <c r="BG7" i="3"/>
  <c r="AR7" i="3"/>
  <c r="AQ7" i="3"/>
  <c r="AG7" i="3"/>
  <c r="AB7" i="3"/>
  <c r="U7" i="3"/>
  <c r="AA7" i="3" s="1"/>
  <c r="AX7" i="3" s="1"/>
  <c r="R7" i="3"/>
  <c r="BJ6" i="3"/>
  <c r="BI6" i="3"/>
  <c r="BF6" i="3" s="1"/>
  <c r="BH6" i="3"/>
  <c r="BG6" i="3"/>
  <c r="AR6" i="3"/>
  <c r="AQ6" i="3"/>
  <c r="AG6" i="3"/>
  <c r="AB6" i="3"/>
  <c r="U6" i="3"/>
  <c r="H16" i="2" s="1"/>
  <c r="R6" i="3"/>
  <c r="BB6" i="3" s="1"/>
  <c r="BJ5" i="3"/>
  <c r="BI5" i="3"/>
  <c r="BH5" i="3"/>
  <c r="BG5" i="3"/>
  <c r="BF5" i="3"/>
  <c r="AR5" i="3"/>
  <c r="AQ5" i="3"/>
  <c r="AG5" i="3"/>
  <c r="AB5" i="3"/>
  <c r="U5" i="3"/>
  <c r="AA5" i="3" s="1"/>
  <c r="AX5" i="3" s="1"/>
  <c r="R5" i="3"/>
  <c r="BJ4" i="3"/>
  <c r="BI4" i="3"/>
  <c r="BF4" i="3" s="1"/>
  <c r="BH4" i="3"/>
  <c r="BG4" i="3"/>
  <c r="AR4" i="3"/>
  <c r="AQ4" i="3"/>
  <c r="AG4" i="3"/>
  <c r="AB4" i="3"/>
  <c r="U4" i="3"/>
  <c r="AS4" i="3" s="1"/>
  <c r="R4" i="3"/>
  <c r="BR3" i="3"/>
  <c r="G33" i="2"/>
  <c r="E33" i="2"/>
  <c r="D33" i="2"/>
  <c r="C33" i="2"/>
  <c r="B33" i="2"/>
  <c r="A33" i="2"/>
  <c r="G32" i="2"/>
  <c r="E32" i="2"/>
  <c r="D32" i="2"/>
  <c r="C32" i="2"/>
  <c r="B32" i="2"/>
  <c r="A32" i="2"/>
  <c r="G31" i="2"/>
  <c r="E31" i="2"/>
  <c r="D31" i="2"/>
  <c r="C31" i="2"/>
  <c r="B31" i="2"/>
  <c r="A31" i="2"/>
  <c r="G30" i="2"/>
  <c r="E30" i="2"/>
  <c r="D30" i="2"/>
  <c r="C30" i="2"/>
  <c r="B30" i="2"/>
  <c r="A30" i="2"/>
  <c r="G29" i="2"/>
  <c r="E29" i="2"/>
  <c r="D29" i="2"/>
  <c r="C29" i="2"/>
  <c r="B29" i="2"/>
  <c r="A29" i="2"/>
  <c r="G28" i="2"/>
  <c r="E28" i="2"/>
  <c r="D28" i="2"/>
  <c r="C28" i="2"/>
  <c r="B28" i="2"/>
  <c r="A28" i="2"/>
  <c r="G27" i="2"/>
  <c r="E27" i="2"/>
  <c r="D27" i="2"/>
  <c r="C27" i="2"/>
  <c r="B27" i="2"/>
  <c r="A27" i="2"/>
  <c r="G26" i="2"/>
  <c r="E26" i="2"/>
  <c r="D26" i="2"/>
  <c r="C26" i="2"/>
  <c r="B26" i="2"/>
  <c r="A26" i="2"/>
  <c r="G25" i="2"/>
  <c r="E25" i="2"/>
  <c r="D25" i="2"/>
  <c r="C25" i="2"/>
  <c r="B25" i="2"/>
  <c r="A25" i="2"/>
  <c r="G24" i="2"/>
  <c r="E24" i="2"/>
  <c r="D24" i="2"/>
  <c r="C24" i="2"/>
  <c r="B24" i="2"/>
  <c r="A24" i="2"/>
  <c r="G23" i="2"/>
  <c r="E23" i="2"/>
  <c r="D23" i="2"/>
  <c r="C23" i="2"/>
  <c r="B23" i="2"/>
  <c r="A23" i="2"/>
  <c r="G22" i="2"/>
  <c r="E22" i="2"/>
  <c r="D22" i="2"/>
  <c r="C22" i="2"/>
  <c r="B22" i="2"/>
  <c r="A22" i="2"/>
  <c r="G21" i="2"/>
  <c r="E21" i="2"/>
  <c r="D21" i="2"/>
  <c r="C21" i="2"/>
  <c r="B21" i="2"/>
  <c r="A21" i="2"/>
  <c r="G20" i="2"/>
  <c r="E20" i="2"/>
  <c r="D20" i="2"/>
  <c r="C20" i="2"/>
  <c r="B20" i="2"/>
  <c r="A20" i="2"/>
  <c r="G19" i="2"/>
  <c r="E19" i="2"/>
  <c r="D19" i="2"/>
  <c r="C19" i="2"/>
  <c r="B19" i="2"/>
  <c r="A19" i="2"/>
  <c r="G18" i="2"/>
  <c r="E18" i="2"/>
  <c r="D18" i="2"/>
  <c r="C18" i="2"/>
  <c r="B18" i="2"/>
  <c r="A18" i="2"/>
  <c r="G17" i="2"/>
  <c r="E17" i="2"/>
  <c r="D17" i="2"/>
  <c r="C17" i="2"/>
  <c r="B17" i="2"/>
  <c r="A17" i="2"/>
  <c r="G16" i="2"/>
  <c r="E16" i="2"/>
  <c r="D16" i="2"/>
  <c r="C16" i="2"/>
  <c r="B16" i="2"/>
  <c r="A16" i="2"/>
  <c r="G15" i="2"/>
  <c r="E15" i="2"/>
  <c r="D15" i="2"/>
  <c r="C15" i="2"/>
  <c r="B15" i="2"/>
  <c r="A15" i="2"/>
  <c r="G14" i="2"/>
  <c r="E14" i="2"/>
  <c r="D14" i="2"/>
  <c r="C14" i="2"/>
  <c r="B14" i="2"/>
  <c r="A14" i="2"/>
  <c r="BC76" i="3" l="1"/>
  <c r="BB76" i="3"/>
  <c r="G103" i="3"/>
  <c r="AM103" i="3" s="1"/>
  <c r="G39" i="3"/>
  <c r="BK39" i="3" s="1"/>
  <c r="G87" i="3"/>
  <c r="BK87" i="3" s="1"/>
  <c r="G18" i="3"/>
  <c r="AM18" i="3" s="1"/>
  <c r="H20" i="2"/>
  <c r="G55" i="3"/>
  <c r="BK55" i="3" s="1"/>
  <c r="AW30" i="3"/>
  <c r="AV30" i="3"/>
  <c r="BD30" i="3" s="1"/>
  <c r="BB30" i="3"/>
  <c r="BB13" i="3"/>
  <c r="G17" i="3"/>
  <c r="AM17" i="3" s="1"/>
  <c r="G58" i="3"/>
  <c r="AM58" i="3" s="1"/>
  <c r="AS75" i="3"/>
  <c r="AV75" i="3" s="1"/>
  <c r="G73" i="3"/>
  <c r="BK73" i="3" s="1"/>
  <c r="BL73" i="3" s="1"/>
  <c r="G65" i="3"/>
  <c r="AM65" i="3" s="1"/>
  <c r="G19" i="3"/>
  <c r="AM19" i="3" s="1"/>
  <c r="G44" i="3"/>
  <c r="AM44" i="3" s="1"/>
  <c r="G100" i="3"/>
  <c r="AM100" i="3" s="1"/>
  <c r="BB9" i="3"/>
  <c r="G49" i="3"/>
  <c r="BK49" i="3" s="1"/>
  <c r="BM49" i="3" s="1"/>
  <c r="I49" i="3" s="1"/>
  <c r="G60" i="3"/>
  <c r="BK60" i="3" s="1"/>
  <c r="BQ60" i="3" s="1"/>
  <c r="T60" i="3" s="1"/>
  <c r="G71" i="3"/>
  <c r="BK71" i="3" s="1"/>
  <c r="BN71" i="3" s="1"/>
  <c r="V71" i="3" s="1"/>
  <c r="Y71" i="3" s="1"/>
  <c r="Z71" i="3" s="1"/>
  <c r="BN38" i="3"/>
  <c r="V38" i="3" s="1"/>
  <c r="Y38" i="3" s="1"/>
  <c r="Z38" i="3" s="1"/>
  <c r="H17" i="2"/>
  <c r="H23" i="2"/>
  <c r="AV13" i="3"/>
  <c r="BD13" i="3" s="1"/>
  <c r="AS58" i="3"/>
  <c r="AT58" i="3" s="1"/>
  <c r="AW58" i="3" s="1"/>
  <c r="G52" i="3"/>
  <c r="AM52" i="3" s="1"/>
  <c r="BC17" i="3"/>
  <c r="AS28" i="3"/>
  <c r="AV28" i="3" s="1"/>
  <c r="BB92" i="3"/>
  <c r="AS44" i="3"/>
  <c r="AV44" i="3" s="1"/>
  <c r="BC92" i="3"/>
  <c r="H24" i="2"/>
  <c r="BB44" i="3"/>
  <c r="BC81" i="3"/>
  <c r="G90" i="3"/>
  <c r="BK90" i="3" s="1"/>
  <c r="BP90" i="3" s="1"/>
  <c r="X90" i="3" s="1"/>
  <c r="AS43" i="3"/>
  <c r="AV43" i="3" s="1"/>
  <c r="G46" i="3"/>
  <c r="G79" i="3"/>
  <c r="BK79" i="3" s="1"/>
  <c r="BQ79" i="3" s="1"/>
  <c r="T79" i="3" s="1"/>
  <c r="AS74" i="3"/>
  <c r="AT74" i="3" s="1"/>
  <c r="AS29" i="3"/>
  <c r="AT29" i="3" s="1"/>
  <c r="AW29" i="3" s="1"/>
  <c r="G35" i="3"/>
  <c r="BK35" i="3" s="1"/>
  <c r="BN35" i="3" s="1"/>
  <c r="V35" i="3" s="1"/>
  <c r="Y35" i="3" s="1"/>
  <c r="Z35" i="3" s="1"/>
  <c r="G63" i="3"/>
  <c r="BK63" i="3" s="1"/>
  <c r="BP63" i="3" s="1"/>
  <c r="X63" i="3" s="1"/>
  <c r="BB73" i="3"/>
  <c r="BB93" i="3"/>
  <c r="BN94" i="3"/>
  <c r="V94" i="3" s="1"/>
  <c r="Y94" i="3" s="1"/>
  <c r="Z94" i="3" s="1"/>
  <c r="H31" i="2"/>
  <c r="G31" i="3"/>
  <c r="AM31" i="3" s="1"/>
  <c r="BK92" i="3"/>
  <c r="BP92" i="3" s="1"/>
  <c r="X92" i="3" s="1"/>
  <c r="AM92" i="3"/>
  <c r="AM97" i="3"/>
  <c r="BK97" i="3"/>
  <c r="BQ97" i="3" s="1"/>
  <c r="T97" i="3" s="1"/>
  <c r="AA9" i="3"/>
  <c r="AX9" i="3" s="1"/>
  <c r="AA67" i="3"/>
  <c r="AX67" i="3" s="1"/>
  <c r="AA61" i="3"/>
  <c r="AX61" i="3" s="1"/>
  <c r="AA90" i="3"/>
  <c r="AX90" i="3" s="1"/>
  <c r="AA70" i="3"/>
  <c r="AX70" i="3" s="1"/>
  <c r="AA4" i="3"/>
  <c r="AX4" i="3" s="1"/>
  <c r="AS56" i="3"/>
  <c r="BB8" i="3"/>
  <c r="BB27" i="3"/>
  <c r="AA60" i="3"/>
  <c r="AX60" i="3" s="1"/>
  <c r="BC71" i="3"/>
  <c r="BB79" i="3"/>
  <c r="BC97" i="3"/>
  <c r="AS96" i="3"/>
  <c r="AT96" i="3" s="1"/>
  <c r="AU96" i="3" s="1"/>
  <c r="BB78" i="3"/>
  <c r="BB46" i="3"/>
  <c r="AS7" i="3"/>
  <c r="AV7" i="3" s="1"/>
  <c r="H15" i="2"/>
  <c r="BC78" i="3"/>
  <c r="AS45" i="3"/>
  <c r="BB77" i="3"/>
  <c r="AA33" i="3"/>
  <c r="AX33" i="3" s="1"/>
  <c r="AA97" i="3"/>
  <c r="AX97" i="3" s="1"/>
  <c r="H19" i="2"/>
  <c r="AS42" i="3"/>
  <c r="AV42" i="3" s="1"/>
  <c r="AS91" i="3"/>
  <c r="AV83" i="3"/>
  <c r="BD83" i="3" s="1"/>
  <c r="H22" i="2"/>
  <c r="BK37" i="3"/>
  <c r="BN37" i="3" s="1"/>
  <c r="V37" i="3" s="1"/>
  <c r="Y37" i="3" s="1"/>
  <c r="Z37" i="3" s="1"/>
  <c r="BB31" i="3"/>
  <c r="G33" i="3"/>
  <c r="AM33" i="3" s="1"/>
  <c r="BC69" i="3"/>
  <c r="AM94" i="3"/>
  <c r="AT4" i="3"/>
  <c r="AV4" i="3"/>
  <c r="AV86" i="3"/>
  <c r="AT86" i="3"/>
  <c r="AV9" i="3"/>
  <c r="AT9" i="3"/>
  <c r="AU9" i="3" s="1"/>
  <c r="AW102" i="3"/>
  <c r="AU102" i="3"/>
  <c r="AV71" i="3"/>
  <c r="AT71" i="3"/>
  <c r="AT11" i="3"/>
  <c r="AW11" i="3" s="1"/>
  <c r="AV11" i="3"/>
  <c r="AV65" i="3"/>
  <c r="AT65" i="3"/>
  <c r="AW65" i="3" s="1"/>
  <c r="BK78" i="3"/>
  <c r="BP78" i="3" s="1"/>
  <c r="X78" i="3" s="1"/>
  <c r="AM78" i="3"/>
  <c r="AV52" i="3"/>
  <c r="AT52" i="3"/>
  <c r="AA18" i="3"/>
  <c r="AX18" i="3" s="1"/>
  <c r="AA65" i="3"/>
  <c r="AX65" i="3" s="1"/>
  <c r="AA24" i="3"/>
  <c r="AX24" i="3" s="1"/>
  <c r="AA37" i="3"/>
  <c r="AX37" i="3" s="1"/>
  <c r="AA54" i="3"/>
  <c r="AX54" i="3" s="1"/>
  <c r="AA102" i="3"/>
  <c r="AX102" i="3" s="1"/>
  <c r="BK103" i="3"/>
  <c r="BQ103" i="3" s="1"/>
  <c r="T103" i="3" s="1"/>
  <c r="AS18" i="3"/>
  <c r="AT18" i="3" s="1"/>
  <c r="BB19" i="3"/>
  <c r="BO38" i="3"/>
  <c r="W38" i="3" s="1"/>
  <c r="AT10" i="3"/>
  <c r="BD10" i="3" s="1"/>
  <c r="BC11" i="3"/>
  <c r="AS34" i="3"/>
  <c r="BC35" i="3"/>
  <c r="BC60" i="3"/>
  <c r="BK101" i="3"/>
  <c r="BM101" i="3" s="1"/>
  <c r="I101" i="3" s="1"/>
  <c r="BC103" i="3"/>
  <c r="AS17" i="3"/>
  <c r="AT17" i="3" s="1"/>
  <c r="BC89" i="3"/>
  <c r="BC6" i="3"/>
  <c r="AS38" i="3"/>
  <c r="AT38" i="3" s="1"/>
  <c r="BK44" i="3"/>
  <c r="BN44" i="3" s="1"/>
  <c r="V44" i="3" s="1"/>
  <c r="Y44" i="3" s="1"/>
  <c r="Z44" i="3" s="1"/>
  <c r="BB62" i="3"/>
  <c r="AS87" i="3"/>
  <c r="H14" i="2"/>
  <c r="AA14" i="3"/>
  <c r="AX14" i="3" s="1"/>
  <c r="AS76" i="3"/>
  <c r="AS81" i="3"/>
  <c r="AV81" i="3" s="1"/>
  <c r="BK33" i="3"/>
  <c r="AA53" i="3"/>
  <c r="AX53" i="3" s="1"/>
  <c r="AA55" i="3"/>
  <c r="AX55" i="3" s="1"/>
  <c r="AA62" i="3"/>
  <c r="AX62" i="3" s="1"/>
  <c r="AA83" i="3"/>
  <c r="AX83" i="3" s="1"/>
  <c r="AA88" i="3"/>
  <c r="AX88" i="3" s="1"/>
  <c r="AA103" i="3"/>
  <c r="AX103" i="3" s="1"/>
  <c r="AA26" i="3"/>
  <c r="AX26" i="3" s="1"/>
  <c r="H27" i="2"/>
  <c r="AA11" i="3"/>
  <c r="AX11" i="3" s="1"/>
  <c r="BC30" i="3"/>
  <c r="AA49" i="3"/>
  <c r="AX49" i="3" s="1"/>
  <c r="AA71" i="3"/>
  <c r="AX71" i="3" s="1"/>
  <c r="AM102" i="3"/>
  <c r="AM87" i="3"/>
  <c r="AS25" i="3"/>
  <c r="AV25" i="3" s="1"/>
  <c r="BK29" i="3"/>
  <c r="BL29" i="3" s="1"/>
  <c r="BB66" i="3"/>
  <c r="BK76" i="3"/>
  <c r="BQ76" i="3" s="1"/>
  <c r="T76" i="3" s="1"/>
  <c r="AS101" i="3"/>
  <c r="AT101" i="3" s="1"/>
  <c r="AA86" i="3"/>
  <c r="AX86" i="3" s="1"/>
  <c r="AM55" i="3"/>
  <c r="AA10" i="3"/>
  <c r="AX10" i="3" s="1"/>
  <c r="BC20" i="3"/>
  <c r="BB25" i="3"/>
  <c r="AS59" i="3"/>
  <c r="BB63" i="3"/>
  <c r="BB39" i="3"/>
  <c r="BC84" i="3"/>
  <c r="AS85" i="3"/>
  <c r="AT85" i="3" s="1"/>
  <c r="BB61" i="3"/>
  <c r="AA78" i="3"/>
  <c r="AX78" i="3" s="1"/>
  <c r="BB87" i="3"/>
  <c r="BQ94" i="3"/>
  <c r="T94" i="3" s="1"/>
  <c r="BK54" i="3"/>
  <c r="AS92" i="3"/>
  <c r="AT92" i="3" s="1"/>
  <c r="AA30" i="3"/>
  <c r="AX30" i="3" s="1"/>
  <c r="BB55" i="3"/>
  <c r="BK91" i="3"/>
  <c r="BL91" i="3" s="1"/>
  <c r="BP94" i="3"/>
  <c r="X94" i="3" s="1"/>
  <c r="G143" i="11"/>
  <c r="K143" i="11" s="1"/>
  <c r="C142" i="11"/>
  <c r="H142" i="11" s="1"/>
  <c r="G139" i="11"/>
  <c r="K139" i="11" s="1"/>
  <c r="C138" i="11"/>
  <c r="H138" i="11" s="1"/>
  <c r="G135" i="11"/>
  <c r="C134" i="11"/>
  <c r="H134" i="11" s="1"/>
  <c r="F143" i="11"/>
  <c r="F139" i="11"/>
  <c r="F135" i="11"/>
  <c r="E143" i="11"/>
  <c r="E139" i="11"/>
  <c r="E135" i="11"/>
  <c r="E142" i="11"/>
  <c r="E138" i="11"/>
  <c r="E134" i="11"/>
  <c r="D140" i="11"/>
  <c r="G145" i="11"/>
  <c r="K145" i="11" s="1"/>
  <c r="C140" i="11"/>
  <c r="H140" i="11" s="1"/>
  <c r="G138" i="11"/>
  <c r="K138" i="11" s="1"/>
  <c r="G136" i="11"/>
  <c r="K136" i="11" s="1"/>
  <c r="F145" i="11"/>
  <c r="F138" i="11"/>
  <c r="F136" i="11"/>
  <c r="E145" i="11"/>
  <c r="D138" i="11"/>
  <c r="E136" i="11"/>
  <c r="D145" i="11"/>
  <c r="D143" i="11"/>
  <c r="D136" i="11"/>
  <c r="C145" i="11"/>
  <c r="H145" i="11" s="1"/>
  <c r="C143" i="11"/>
  <c r="H143" i="11" s="1"/>
  <c r="G141" i="11"/>
  <c r="K141" i="11" s="1"/>
  <c r="C136" i="11"/>
  <c r="H136" i="11" s="1"/>
  <c r="G134" i="11"/>
  <c r="K134" i="11" s="1"/>
  <c r="F141" i="11"/>
  <c r="F134" i="11"/>
  <c r="E141" i="11"/>
  <c r="D134" i="11"/>
  <c r="D141" i="11"/>
  <c r="D139" i="11"/>
  <c r="G144" i="11"/>
  <c r="K144" i="11" s="1"/>
  <c r="C141" i="11"/>
  <c r="H141" i="11" s="1"/>
  <c r="C139" i="11"/>
  <c r="H139" i="11" s="1"/>
  <c r="G137" i="11"/>
  <c r="K137" i="11" s="1"/>
  <c r="F144" i="11"/>
  <c r="F137" i="11"/>
  <c r="E144" i="11"/>
  <c r="E137" i="11"/>
  <c r="D144" i="11"/>
  <c r="C144" i="11"/>
  <c r="H144" i="11" s="1"/>
  <c r="G142" i="11"/>
  <c r="K142" i="11" s="1"/>
  <c r="G140" i="11"/>
  <c r="K140" i="11" s="1"/>
  <c r="C137" i="11"/>
  <c r="H137" i="11" s="1"/>
  <c r="C135" i="11"/>
  <c r="H135" i="11" s="1"/>
  <c r="F142" i="11"/>
  <c r="F140" i="11"/>
  <c r="D142" i="11"/>
  <c r="E140" i="11"/>
  <c r="D137" i="11"/>
  <c r="D135" i="11"/>
  <c r="E72" i="11"/>
  <c r="E68" i="11"/>
  <c r="E64" i="11"/>
  <c r="D72" i="11"/>
  <c r="D68" i="11"/>
  <c r="D64" i="11"/>
  <c r="G73" i="11"/>
  <c r="K73" i="11" s="1"/>
  <c r="C72" i="11"/>
  <c r="H72" i="11" s="1"/>
  <c r="G69" i="11"/>
  <c r="C68" i="11"/>
  <c r="H68" i="11" s="1"/>
  <c r="G65" i="11"/>
  <c r="C64" i="11"/>
  <c r="H64" i="11" s="1"/>
  <c r="G72" i="11"/>
  <c r="C71" i="11"/>
  <c r="H71" i="11" s="1"/>
  <c r="G68" i="11"/>
  <c r="C67" i="11"/>
  <c r="H67" i="11" s="1"/>
  <c r="G64" i="11"/>
  <c r="K64" i="11" s="1"/>
  <c r="C63" i="11"/>
  <c r="H63" i="11" s="1"/>
  <c r="F67" i="11"/>
  <c r="F65" i="11"/>
  <c r="E67" i="11"/>
  <c r="E65" i="11"/>
  <c r="D67" i="11"/>
  <c r="D65" i="11"/>
  <c r="F72" i="11"/>
  <c r="G70" i="11"/>
  <c r="K70" i="11" s="1"/>
  <c r="C65" i="11"/>
  <c r="H65" i="11" s="1"/>
  <c r="G63" i="11"/>
  <c r="K63" i="11" s="1"/>
  <c r="F70" i="11"/>
  <c r="F63" i="11"/>
  <c r="E70" i="11"/>
  <c r="E63" i="11"/>
  <c r="D70" i="11"/>
  <c r="D63" i="11"/>
  <c r="C70" i="11"/>
  <c r="H70" i="11" s="1"/>
  <c r="F68" i="11"/>
  <c r="G66" i="11"/>
  <c r="K66" i="11" s="1"/>
  <c r="F73" i="11"/>
  <c r="F66" i="11"/>
  <c r="E73" i="11"/>
  <c r="E66" i="11"/>
  <c r="D73" i="11"/>
  <c r="D66" i="11"/>
  <c r="C73" i="11"/>
  <c r="H73" i="11" s="1"/>
  <c r="G71" i="11"/>
  <c r="C66" i="11"/>
  <c r="H66" i="11" s="1"/>
  <c r="F64" i="11"/>
  <c r="G62" i="11"/>
  <c r="K62" i="11" s="1"/>
  <c r="F71" i="11"/>
  <c r="F69" i="11"/>
  <c r="F62" i="11"/>
  <c r="E71" i="11"/>
  <c r="E69" i="11"/>
  <c r="E62" i="11"/>
  <c r="D71" i="11"/>
  <c r="D69" i="11"/>
  <c r="D62" i="11"/>
  <c r="C69" i="11"/>
  <c r="H69" i="11" s="1"/>
  <c r="G67" i="11"/>
  <c r="C62" i="11"/>
  <c r="H62" i="11" s="1"/>
  <c r="E276" i="11"/>
  <c r="E272" i="11"/>
  <c r="E268" i="11"/>
  <c r="D276" i="11"/>
  <c r="D272" i="11"/>
  <c r="D268" i="11"/>
  <c r="G277" i="11"/>
  <c r="K277" i="11" s="1"/>
  <c r="C276" i="11"/>
  <c r="H276" i="11" s="1"/>
  <c r="G273" i="11"/>
  <c r="K273" i="11" s="1"/>
  <c r="C272" i="11"/>
  <c r="H272" i="11" s="1"/>
  <c r="G269" i="11"/>
  <c r="K269" i="11" s="1"/>
  <c r="C268" i="11"/>
  <c r="H268" i="11" s="1"/>
  <c r="G276" i="11"/>
  <c r="K276" i="11" s="1"/>
  <c r="C275" i="11"/>
  <c r="H275" i="11" s="1"/>
  <c r="G272" i="11"/>
  <c r="C271" i="11"/>
  <c r="H271" i="11" s="1"/>
  <c r="G268" i="11"/>
  <c r="C267" i="11"/>
  <c r="H267" i="11" s="1"/>
  <c r="F271" i="11"/>
  <c r="F269" i="11"/>
  <c r="E271" i="11"/>
  <c r="E269" i="11"/>
  <c r="D271" i="11"/>
  <c r="D269" i="11"/>
  <c r="F276" i="11"/>
  <c r="G274" i="11"/>
  <c r="K274" i="11" s="1"/>
  <c r="C269" i="11"/>
  <c r="H269" i="11" s="1"/>
  <c r="G267" i="11"/>
  <c r="K267" i="11" s="1"/>
  <c r="F274" i="11"/>
  <c r="F267" i="11"/>
  <c r="E274" i="11"/>
  <c r="E267" i="11"/>
  <c r="D274" i="11"/>
  <c r="D267" i="11"/>
  <c r="C274" i="11"/>
  <c r="H274" i="11" s="1"/>
  <c r="F272" i="11"/>
  <c r="G270" i="11"/>
  <c r="K270" i="11" s="1"/>
  <c r="F277" i="11"/>
  <c r="F270" i="11"/>
  <c r="E277" i="11"/>
  <c r="E270" i="11"/>
  <c r="D277" i="11"/>
  <c r="D270" i="11"/>
  <c r="C277" i="11"/>
  <c r="H277" i="11" s="1"/>
  <c r="G275" i="11"/>
  <c r="C270" i="11"/>
  <c r="H270" i="11" s="1"/>
  <c r="F268" i="11"/>
  <c r="G266" i="11"/>
  <c r="F275" i="11"/>
  <c r="F273" i="11"/>
  <c r="F266" i="11"/>
  <c r="E275" i="11"/>
  <c r="E273" i="11"/>
  <c r="E266" i="11"/>
  <c r="D275" i="11"/>
  <c r="D273" i="11"/>
  <c r="D266" i="11"/>
  <c r="G271" i="11"/>
  <c r="K271" i="11" s="1"/>
  <c r="C266" i="11"/>
  <c r="H266" i="11" s="1"/>
  <c r="C273" i="11"/>
  <c r="H273" i="11" s="1"/>
  <c r="E348" i="11"/>
  <c r="E344" i="11"/>
  <c r="E340" i="11"/>
  <c r="D348" i="11"/>
  <c r="D344" i="11"/>
  <c r="D340" i="11"/>
  <c r="G349" i="11"/>
  <c r="K349" i="11" s="1"/>
  <c r="C348" i="11"/>
  <c r="H348" i="11" s="1"/>
  <c r="G345" i="11"/>
  <c r="K345" i="11" s="1"/>
  <c r="C344" i="11"/>
  <c r="H344" i="11" s="1"/>
  <c r="G341" i="11"/>
  <c r="K341" i="11" s="1"/>
  <c r="C340" i="11"/>
  <c r="H340" i="11" s="1"/>
  <c r="F349" i="11"/>
  <c r="F345" i="11"/>
  <c r="F341" i="11"/>
  <c r="E349" i="11"/>
  <c r="E345" i="11"/>
  <c r="E341" i="11"/>
  <c r="D349" i="11"/>
  <c r="D345" i="11"/>
  <c r="D341" i="11"/>
  <c r="C349" i="11"/>
  <c r="H349" i="11" s="1"/>
  <c r="G346" i="11"/>
  <c r="K346" i="11" s="1"/>
  <c r="C345" i="11"/>
  <c r="H345" i="11" s="1"/>
  <c r="G342" i="11"/>
  <c r="K342" i="11" s="1"/>
  <c r="C341" i="11"/>
  <c r="H341" i="11" s="1"/>
  <c r="G338" i="11"/>
  <c r="K338" i="11" s="1"/>
  <c r="E346" i="11"/>
  <c r="G348" i="11"/>
  <c r="K348" i="11" s="1"/>
  <c r="C347" i="11"/>
  <c r="H347" i="11" s="1"/>
  <c r="G344" i="11"/>
  <c r="K344" i="11" s="1"/>
  <c r="C343" i="11"/>
  <c r="H343" i="11" s="1"/>
  <c r="G340" i="11"/>
  <c r="K340" i="11" s="1"/>
  <c r="C339" i="11"/>
  <c r="H339" i="11" s="1"/>
  <c r="F348" i="11"/>
  <c r="C342" i="11"/>
  <c r="H342" i="11" s="1"/>
  <c r="G339" i="11"/>
  <c r="K339" i="11" s="1"/>
  <c r="F339" i="11"/>
  <c r="G347" i="11"/>
  <c r="K347" i="11" s="1"/>
  <c r="E339" i="11"/>
  <c r="F347" i="11"/>
  <c r="D339" i="11"/>
  <c r="E347" i="11"/>
  <c r="F344" i="11"/>
  <c r="D347" i="11"/>
  <c r="F338" i="11"/>
  <c r="E338" i="11"/>
  <c r="F346" i="11"/>
  <c r="D338" i="11"/>
  <c r="D346" i="11"/>
  <c r="G343" i="11"/>
  <c r="K343" i="11" s="1"/>
  <c r="C338" i="11"/>
  <c r="H338" i="11" s="1"/>
  <c r="C346" i="11"/>
  <c r="H346" i="11" s="1"/>
  <c r="F343" i="11"/>
  <c r="E343" i="11"/>
  <c r="D343" i="11"/>
  <c r="F340" i="11"/>
  <c r="F342" i="11"/>
  <c r="E342" i="11"/>
  <c r="D342" i="11"/>
  <c r="AT33" i="3"/>
  <c r="BB47" i="3"/>
  <c r="G47" i="3"/>
  <c r="BC47" i="3"/>
  <c r="AT64" i="3"/>
  <c r="AV64" i="3"/>
  <c r="E947" i="11"/>
  <c r="D947" i="11"/>
  <c r="D945" i="11"/>
  <c r="D941" i="11"/>
  <c r="G949" i="11"/>
  <c r="K949" i="11" s="1"/>
  <c r="G946" i="11"/>
  <c r="K946" i="11" s="1"/>
  <c r="C945" i="11"/>
  <c r="H945" i="11" s="1"/>
  <c r="G942" i="11"/>
  <c r="K942" i="11" s="1"/>
  <c r="C941" i="11"/>
  <c r="H941" i="11" s="1"/>
  <c r="G938" i="11"/>
  <c r="K938" i="11" s="1"/>
  <c r="F949" i="11"/>
  <c r="F946" i="11"/>
  <c r="F942" i="11"/>
  <c r="F938" i="11"/>
  <c r="E949" i="11"/>
  <c r="C949" i="11"/>
  <c r="H949" i="11" s="1"/>
  <c r="C946" i="11"/>
  <c r="H946" i="11" s="1"/>
  <c r="D948" i="11"/>
  <c r="F945" i="11"/>
  <c r="F941" i="11"/>
  <c r="C948" i="11"/>
  <c r="H948" i="11" s="1"/>
  <c r="E945" i="11"/>
  <c r="E941" i="11"/>
  <c r="D946" i="11"/>
  <c r="F944" i="11"/>
  <c r="D942" i="11"/>
  <c r="G940" i="11"/>
  <c r="K940" i="11" s="1"/>
  <c r="E938" i="11"/>
  <c r="E944" i="11"/>
  <c r="C942" i="11"/>
  <c r="H942" i="11" s="1"/>
  <c r="F940" i="11"/>
  <c r="D938" i="11"/>
  <c r="D944" i="11"/>
  <c r="E940" i="11"/>
  <c r="C938" i="11"/>
  <c r="H938" i="11" s="1"/>
  <c r="G948" i="11"/>
  <c r="C944" i="11"/>
  <c r="H944" i="11" s="1"/>
  <c r="D940" i="11"/>
  <c r="F948" i="11"/>
  <c r="C940" i="11"/>
  <c r="H940" i="11" s="1"/>
  <c r="E948" i="11"/>
  <c r="G943" i="11"/>
  <c r="K943" i="11" s="1"/>
  <c r="F943" i="11"/>
  <c r="G939" i="11"/>
  <c r="K939" i="11" s="1"/>
  <c r="G947" i="11"/>
  <c r="K947" i="11" s="1"/>
  <c r="G945" i="11"/>
  <c r="K945" i="11" s="1"/>
  <c r="E943" i="11"/>
  <c r="F939" i="11"/>
  <c r="F947" i="11"/>
  <c r="D943" i="11"/>
  <c r="G941" i="11"/>
  <c r="E939" i="11"/>
  <c r="C947" i="11"/>
  <c r="H947" i="11" s="1"/>
  <c r="C943" i="11"/>
  <c r="H943" i="11" s="1"/>
  <c r="D939" i="11"/>
  <c r="C939" i="11"/>
  <c r="H939" i="11" s="1"/>
  <c r="D949" i="11"/>
  <c r="E946" i="11"/>
  <c r="G944" i="11"/>
  <c r="K944" i="11" s="1"/>
  <c r="E942" i="11"/>
  <c r="E24" i="11"/>
  <c r="E20" i="11"/>
  <c r="E16" i="11"/>
  <c r="D24" i="11"/>
  <c r="D20" i="11"/>
  <c r="D16" i="11"/>
  <c r="G25" i="11"/>
  <c r="C24" i="11"/>
  <c r="H24" i="11" s="1"/>
  <c r="G21" i="11"/>
  <c r="K21" i="11" s="1"/>
  <c r="C20" i="11"/>
  <c r="H20" i="11" s="1"/>
  <c r="G17" i="11"/>
  <c r="K17" i="11" s="1"/>
  <c r="C16" i="11"/>
  <c r="H16" i="11" s="1"/>
  <c r="G24" i="11"/>
  <c r="K24" i="11" s="1"/>
  <c r="C23" i="11"/>
  <c r="H23" i="11" s="1"/>
  <c r="G20" i="11"/>
  <c r="K20" i="11" s="1"/>
  <c r="C19" i="11"/>
  <c r="H19" i="11" s="1"/>
  <c r="G16" i="11"/>
  <c r="K16" i="11" s="1"/>
  <c r="C15" i="11"/>
  <c r="H15" i="11" s="1"/>
  <c r="F19" i="11"/>
  <c r="F17" i="11"/>
  <c r="E19" i="11"/>
  <c r="E17" i="11"/>
  <c r="D19" i="11"/>
  <c r="D17" i="11"/>
  <c r="F24" i="11"/>
  <c r="G22" i="11"/>
  <c r="K22" i="11" s="1"/>
  <c r="C17" i="11"/>
  <c r="H17" i="11" s="1"/>
  <c r="G15" i="11"/>
  <c r="K15" i="11" s="1"/>
  <c r="F22" i="11"/>
  <c r="F15" i="11"/>
  <c r="E22" i="11"/>
  <c r="E15" i="11"/>
  <c r="D22" i="11"/>
  <c r="D15" i="11"/>
  <c r="C22" i="11"/>
  <c r="H22" i="11" s="1"/>
  <c r="F20" i="11"/>
  <c r="G18" i="11"/>
  <c r="F25" i="11"/>
  <c r="F18" i="11"/>
  <c r="E25" i="11"/>
  <c r="E18" i="11"/>
  <c r="D25" i="11"/>
  <c r="D18" i="11"/>
  <c r="C25" i="11"/>
  <c r="H25" i="11" s="1"/>
  <c r="G23" i="11"/>
  <c r="K23" i="11" s="1"/>
  <c r="C18" i="11"/>
  <c r="H18" i="11" s="1"/>
  <c r="F16" i="11"/>
  <c r="G14" i="11"/>
  <c r="K14" i="11" s="1"/>
  <c r="F23" i="11"/>
  <c r="F21" i="11"/>
  <c r="F14" i="11"/>
  <c r="E23" i="11"/>
  <c r="E21" i="11"/>
  <c r="E14" i="11"/>
  <c r="D23" i="11"/>
  <c r="D21" i="11"/>
  <c r="D14" i="11"/>
  <c r="C21" i="11"/>
  <c r="H21" i="11" s="1"/>
  <c r="G19" i="11"/>
  <c r="K19" i="11" s="1"/>
  <c r="C14" i="11"/>
  <c r="H14" i="11" s="1"/>
  <c r="AS16" i="3"/>
  <c r="H26" i="2"/>
  <c r="AA16" i="3"/>
  <c r="AX16" i="3" s="1"/>
  <c r="BB24" i="3"/>
  <c r="G24" i="3"/>
  <c r="BC24" i="3"/>
  <c r="AV33" i="3"/>
  <c r="AS35" i="3"/>
  <c r="AA35" i="3"/>
  <c r="AX35" i="3" s="1"/>
  <c r="AA36" i="3"/>
  <c r="AX36" i="3" s="1"/>
  <c r="BK46" i="3"/>
  <c r="BO46" i="3" s="1"/>
  <c r="W46" i="3" s="1"/>
  <c r="AM46" i="3"/>
  <c r="AW60" i="3"/>
  <c r="AU60" i="3"/>
  <c r="G56" i="3"/>
  <c r="BB56" i="3"/>
  <c r="BC56" i="3"/>
  <c r="BB14" i="3"/>
  <c r="BC32" i="3"/>
  <c r="G32" i="3"/>
  <c r="BQ38" i="3"/>
  <c r="T38" i="3" s="1"/>
  <c r="AL38" i="3" s="1"/>
  <c r="BP38" i="3"/>
  <c r="X38" i="3" s="1"/>
  <c r="BK57" i="3"/>
  <c r="BL57" i="3" s="1"/>
  <c r="AM57" i="3"/>
  <c r="E768" i="11"/>
  <c r="E764" i="11"/>
  <c r="E760" i="11"/>
  <c r="D768" i="11"/>
  <c r="D764" i="11"/>
  <c r="D760" i="11"/>
  <c r="E769" i="11"/>
  <c r="E766" i="11"/>
  <c r="E763" i="11"/>
  <c r="C760" i="11"/>
  <c r="H760" i="11" s="1"/>
  <c r="D769" i="11"/>
  <c r="D766" i="11"/>
  <c r="D763" i="11"/>
  <c r="C769" i="11"/>
  <c r="H769" i="11" s="1"/>
  <c r="C766" i="11"/>
  <c r="H766" i="11" s="1"/>
  <c r="C763" i="11"/>
  <c r="H763" i="11" s="1"/>
  <c r="G761" i="11"/>
  <c r="G758" i="11"/>
  <c r="K758" i="11" s="1"/>
  <c r="F761" i="11"/>
  <c r="F758" i="11"/>
  <c r="G767" i="11"/>
  <c r="G764" i="11"/>
  <c r="K764" i="11" s="1"/>
  <c r="E761" i="11"/>
  <c r="E758" i="11"/>
  <c r="F767" i="11"/>
  <c r="F764" i="11"/>
  <c r="D761" i="11"/>
  <c r="D758" i="11"/>
  <c r="E767" i="11"/>
  <c r="C764" i="11"/>
  <c r="H764" i="11" s="1"/>
  <c r="C761" i="11"/>
  <c r="H761" i="11" s="1"/>
  <c r="C758" i="11"/>
  <c r="H758" i="11" s="1"/>
  <c r="D767" i="11"/>
  <c r="G768" i="11"/>
  <c r="K768" i="11" s="1"/>
  <c r="E765" i="11"/>
  <c r="G769" i="11"/>
  <c r="G766" i="11"/>
  <c r="K766" i="11" s="1"/>
  <c r="G763" i="11"/>
  <c r="K763" i="11" s="1"/>
  <c r="G760" i="11"/>
  <c r="K760" i="11" s="1"/>
  <c r="F769" i="11"/>
  <c r="F766" i="11"/>
  <c r="F763" i="11"/>
  <c r="F760" i="11"/>
  <c r="G759" i="11"/>
  <c r="K759" i="11" s="1"/>
  <c r="F759" i="11"/>
  <c r="E759" i="11"/>
  <c r="D759" i="11"/>
  <c r="G762" i="11"/>
  <c r="K762" i="11" s="1"/>
  <c r="C759" i="11"/>
  <c r="H759" i="11" s="1"/>
  <c r="F768" i="11"/>
  <c r="F762" i="11"/>
  <c r="C768" i="11"/>
  <c r="H768" i="11" s="1"/>
  <c r="E762" i="11"/>
  <c r="C767" i="11"/>
  <c r="H767" i="11" s="1"/>
  <c r="D762" i="11"/>
  <c r="C762" i="11"/>
  <c r="H762" i="11" s="1"/>
  <c r="G765" i="11"/>
  <c r="K765" i="11" s="1"/>
  <c r="F765" i="11"/>
  <c r="D765" i="11"/>
  <c r="C765" i="11"/>
  <c r="H765" i="11" s="1"/>
  <c r="E288" i="11"/>
  <c r="E284" i="11"/>
  <c r="E280" i="11"/>
  <c r="D288" i="11"/>
  <c r="D284" i="11"/>
  <c r="D280" i="11"/>
  <c r="G289" i="11"/>
  <c r="C288" i="11"/>
  <c r="H288" i="11" s="1"/>
  <c r="G285" i="11"/>
  <c r="K285" i="11" s="1"/>
  <c r="C284" i="11"/>
  <c r="H284" i="11" s="1"/>
  <c r="G281" i="11"/>
  <c r="K281" i="11" s="1"/>
  <c r="C280" i="11"/>
  <c r="H280" i="11" s="1"/>
  <c r="G288" i="11"/>
  <c r="K288" i="11" s="1"/>
  <c r="C287" i="11"/>
  <c r="H287" i="11" s="1"/>
  <c r="G284" i="11"/>
  <c r="K284" i="11" s="1"/>
  <c r="C283" i="11"/>
  <c r="H283" i="11" s="1"/>
  <c r="G280" i="11"/>
  <c r="C279" i="11"/>
  <c r="H279" i="11" s="1"/>
  <c r="F287" i="11"/>
  <c r="F285" i="11"/>
  <c r="F278" i="11"/>
  <c r="E287" i="11"/>
  <c r="E285" i="11"/>
  <c r="E278" i="11"/>
  <c r="D287" i="11"/>
  <c r="D285" i="11"/>
  <c r="D278" i="11"/>
  <c r="C285" i="11"/>
  <c r="H285" i="11" s="1"/>
  <c r="G283" i="11"/>
  <c r="K283" i="11" s="1"/>
  <c r="C278" i="11"/>
  <c r="H278" i="11" s="1"/>
  <c r="F283" i="11"/>
  <c r="F281" i="11"/>
  <c r="E283" i="11"/>
  <c r="E281" i="11"/>
  <c r="D283" i="11"/>
  <c r="D281" i="11"/>
  <c r="F288" i="11"/>
  <c r="G286" i="11"/>
  <c r="K286" i="11" s="1"/>
  <c r="C281" i="11"/>
  <c r="H281" i="11" s="1"/>
  <c r="G279" i="11"/>
  <c r="K279" i="11" s="1"/>
  <c r="F286" i="11"/>
  <c r="F279" i="11"/>
  <c r="E286" i="11"/>
  <c r="E279" i="11"/>
  <c r="D286" i="11"/>
  <c r="D279" i="11"/>
  <c r="C286" i="11"/>
  <c r="H286" i="11" s="1"/>
  <c r="F284" i="11"/>
  <c r="G282" i="11"/>
  <c r="K282" i="11" s="1"/>
  <c r="F289" i="11"/>
  <c r="F282" i="11"/>
  <c r="E289" i="11"/>
  <c r="E282" i="11"/>
  <c r="D289" i="11"/>
  <c r="D282" i="11"/>
  <c r="C289" i="11"/>
  <c r="H289" i="11" s="1"/>
  <c r="G287" i="11"/>
  <c r="K287" i="11" s="1"/>
  <c r="C282" i="11"/>
  <c r="H282" i="11" s="1"/>
  <c r="F280" i="11"/>
  <c r="G278" i="11"/>
  <c r="K278" i="11" s="1"/>
  <c r="BL27" i="3"/>
  <c r="BQ27" i="3"/>
  <c r="T27" i="3" s="1"/>
  <c r="BP27" i="3"/>
  <c r="X27" i="3" s="1"/>
  <c r="BO27" i="3"/>
  <c r="W27" i="3" s="1"/>
  <c r="BN27" i="3"/>
  <c r="V27" i="3" s="1"/>
  <c r="Y27" i="3" s="1"/>
  <c r="Z27" i="3" s="1"/>
  <c r="BC4" i="3"/>
  <c r="BC14" i="3"/>
  <c r="BK30" i="3"/>
  <c r="BL30" i="3" s="1"/>
  <c r="AM30" i="3"/>
  <c r="AA32" i="3"/>
  <c r="AX32" i="3" s="1"/>
  <c r="AS32" i="3"/>
  <c r="BC5" i="3"/>
  <c r="E48" i="11"/>
  <c r="E44" i="11"/>
  <c r="E40" i="11"/>
  <c r="D48" i="11"/>
  <c r="D44" i="11"/>
  <c r="D40" i="11"/>
  <c r="G49" i="11"/>
  <c r="K49" i="11" s="1"/>
  <c r="C48" i="11"/>
  <c r="H48" i="11" s="1"/>
  <c r="G45" i="11"/>
  <c r="K45" i="11" s="1"/>
  <c r="C44" i="11"/>
  <c r="H44" i="11" s="1"/>
  <c r="G41" i="11"/>
  <c r="K41" i="11" s="1"/>
  <c r="C40" i="11"/>
  <c r="H40" i="11" s="1"/>
  <c r="G48" i="11"/>
  <c r="K48" i="11" s="1"/>
  <c r="C47" i="11"/>
  <c r="H47" i="11" s="1"/>
  <c r="G44" i="11"/>
  <c r="K44" i="11" s="1"/>
  <c r="C43" i="11"/>
  <c r="H43" i="11" s="1"/>
  <c r="G40" i="11"/>
  <c r="K40" i="11" s="1"/>
  <c r="C39" i="11"/>
  <c r="H39" i="11" s="1"/>
  <c r="F49" i="11"/>
  <c r="F42" i="11"/>
  <c r="E49" i="11"/>
  <c r="E42" i="11"/>
  <c r="D49" i="11"/>
  <c r="D42" i="11"/>
  <c r="C49" i="11"/>
  <c r="H49" i="11" s="1"/>
  <c r="G47" i="11"/>
  <c r="K47" i="11" s="1"/>
  <c r="C42" i="11"/>
  <c r="H42" i="11" s="1"/>
  <c r="F40" i="11"/>
  <c r="G38" i="11"/>
  <c r="K38" i="11" s="1"/>
  <c r="F47" i="11"/>
  <c r="F45" i="11"/>
  <c r="F38" i="11"/>
  <c r="E47" i="11"/>
  <c r="E45" i="11"/>
  <c r="E38" i="11"/>
  <c r="D47" i="11"/>
  <c r="D45" i="11"/>
  <c r="D38" i="11"/>
  <c r="C45" i="11"/>
  <c r="H45" i="11" s="1"/>
  <c r="G43" i="11"/>
  <c r="K43" i="11" s="1"/>
  <c r="C38" i="11"/>
  <c r="H38" i="11" s="1"/>
  <c r="F43" i="11"/>
  <c r="F41" i="11"/>
  <c r="E43" i="11"/>
  <c r="E41" i="11"/>
  <c r="D43" i="11"/>
  <c r="D41" i="11"/>
  <c r="F48" i="11"/>
  <c r="G46" i="11"/>
  <c r="C41" i="11"/>
  <c r="H41" i="11" s="1"/>
  <c r="G39" i="11"/>
  <c r="K39" i="11" s="1"/>
  <c r="F46" i="11"/>
  <c r="F39" i="11"/>
  <c r="E46" i="11"/>
  <c r="E39" i="11"/>
  <c r="D46" i="11"/>
  <c r="D39" i="11"/>
  <c r="C46" i="11"/>
  <c r="H46" i="11" s="1"/>
  <c r="F44" i="11"/>
  <c r="G42" i="11"/>
  <c r="K42" i="11" s="1"/>
  <c r="BC22" i="3"/>
  <c r="BB22" i="3"/>
  <c r="G22" i="3"/>
  <c r="C685" i="11"/>
  <c r="H685" i="11" s="1"/>
  <c r="G682" i="11"/>
  <c r="K682" i="11" s="1"/>
  <c r="C681" i="11"/>
  <c r="H681" i="11" s="1"/>
  <c r="G678" i="11"/>
  <c r="K678" i="11" s="1"/>
  <c r="C677" i="11"/>
  <c r="H677" i="11" s="1"/>
  <c r="G674" i="11"/>
  <c r="K674" i="11" s="1"/>
  <c r="F682" i="11"/>
  <c r="F678" i="11"/>
  <c r="F674" i="11"/>
  <c r="G684" i="11"/>
  <c r="K684" i="11" s="1"/>
  <c r="G681" i="11"/>
  <c r="E678" i="11"/>
  <c r="E675" i="11"/>
  <c r="F684" i="11"/>
  <c r="F681" i="11"/>
  <c r="D678" i="11"/>
  <c r="D675" i="11"/>
  <c r="E684" i="11"/>
  <c r="E681" i="11"/>
  <c r="C678" i="11"/>
  <c r="H678" i="11" s="1"/>
  <c r="C675" i="11"/>
  <c r="H675" i="11" s="1"/>
  <c r="D684" i="11"/>
  <c r="D681" i="11"/>
  <c r="F679" i="11"/>
  <c r="F676" i="11"/>
  <c r="G685" i="11"/>
  <c r="K685" i="11" s="1"/>
  <c r="E682" i="11"/>
  <c r="E679" i="11"/>
  <c r="F683" i="11"/>
  <c r="F680" i="11"/>
  <c r="F677" i="11"/>
  <c r="D674" i="11"/>
  <c r="C683" i="11"/>
  <c r="H683" i="11" s="1"/>
  <c r="C680" i="11"/>
  <c r="H680" i="11" s="1"/>
  <c r="G675" i="11"/>
  <c r="K675" i="11" s="1"/>
  <c r="C684" i="11"/>
  <c r="H684" i="11" s="1"/>
  <c r="F675" i="11"/>
  <c r="G683" i="11"/>
  <c r="K683" i="11" s="1"/>
  <c r="G680" i="11"/>
  <c r="K680" i="11" s="1"/>
  <c r="G677" i="11"/>
  <c r="K677" i="11" s="1"/>
  <c r="E683" i="11"/>
  <c r="E680" i="11"/>
  <c r="E677" i="11"/>
  <c r="D683" i="11"/>
  <c r="D680" i="11"/>
  <c r="D677" i="11"/>
  <c r="E674" i="11"/>
  <c r="C674" i="11"/>
  <c r="H674" i="11" s="1"/>
  <c r="G679" i="11"/>
  <c r="K679" i="11" s="1"/>
  <c r="G676" i="11"/>
  <c r="K676" i="11" s="1"/>
  <c r="F685" i="11"/>
  <c r="D682" i="11"/>
  <c r="D679" i="11"/>
  <c r="E676" i="11"/>
  <c r="E685" i="11"/>
  <c r="C682" i="11"/>
  <c r="H682" i="11" s="1"/>
  <c r="C679" i="11"/>
  <c r="H679" i="11" s="1"/>
  <c r="D676" i="11"/>
  <c r="D685" i="11"/>
  <c r="C676" i="11"/>
  <c r="H676" i="11" s="1"/>
  <c r="C697" i="11"/>
  <c r="H697" i="11" s="1"/>
  <c r="G694" i="11"/>
  <c r="K694" i="11" s="1"/>
  <c r="C693" i="11"/>
  <c r="H693" i="11" s="1"/>
  <c r="G690" i="11"/>
  <c r="K690" i="11" s="1"/>
  <c r="C689" i="11"/>
  <c r="H689" i="11" s="1"/>
  <c r="G686" i="11"/>
  <c r="K686" i="11" s="1"/>
  <c r="F694" i="11"/>
  <c r="F690" i="11"/>
  <c r="F686" i="11"/>
  <c r="C695" i="11"/>
  <c r="H695" i="11" s="1"/>
  <c r="C692" i="11"/>
  <c r="H692" i="11" s="1"/>
  <c r="G687" i="11"/>
  <c r="K687" i="11" s="1"/>
  <c r="F687" i="11"/>
  <c r="G696" i="11"/>
  <c r="K696" i="11" s="1"/>
  <c r="G693" i="11"/>
  <c r="K693" i="11" s="1"/>
  <c r="E690" i="11"/>
  <c r="E687" i="11"/>
  <c r="F696" i="11"/>
  <c r="F693" i="11"/>
  <c r="D690" i="11"/>
  <c r="D687" i="11"/>
  <c r="E696" i="11"/>
  <c r="E693" i="11"/>
  <c r="D696" i="11"/>
  <c r="D693" i="11"/>
  <c r="C696" i="11"/>
  <c r="H696" i="11" s="1"/>
  <c r="G691" i="11"/>
  <c r="G688" i="11"/>
  <c r="F697" i="11"/>
  <c r="D694" i="11"/>
  <c r="D697" i="11"/>
  <c r="E695" i="11"/>
  <c r="E692" i="11"/>
  <c r="E689" i="11"/>
  <c r="C686" i="11"/>
  <c r="H686" i="11" s="1"/>
  <c r="C690" i="11"/>
  <c r="H690" i="11" s="1"/>
  <c r="C687" i="11"/>
  <c r="H687" i="11" s="1"/>
  <c r="G697" i="11"/>
  <c r="K697" i="11" s="1"/>
  <c r="E697" i="11"/>
  <c r="G692" i="11"/>
  <c r="K692" i="11" s="1"/>
  <c r="G689" i="11"/>
  <c r="K689" i="11" s="1"/>
  <c r="E686" i="11"/>
  <c r="F692" i="11"/>
  <c r="F689" i="11"/>
  <c r="D686" i="11"/>
  <c r="D692" i="11"/>
  <c r="D689" i="11"/>
  <c r="G695" i="11"/>
  <c r="K695" i="11" s="1"/>
  <c r="F691" i="11"/>
  <c r="F688" i="11"/>
  <c r="F695" i="11"/>
  <c r="E691" i="11"/>
  <c r="E688" i="11"/>
  <c r="D695" i="11"/>
  <c r="D691" i="11"/>
  <c r="D688" i="11"/>
  <c r="E694" i="11"/>
  <c r="C691" i="11"/>
  <c r="H691" i="11" s="1"/>
  <c r="C688" i="11"/>
  <c r="H688" i="11" s="1"/>
  <c r="C694" i="11"/>
  <c r="H694" i="11" s="1"/>
  <c r="AW13" i="3"/>
  <c r="AU13" i="3"/>
  <c r="BM27" i="3"/>
  <c r="I27" i="3" s="1"/>
  <c r="AV14" i="3"/>
  <c r="AT14" i="3"/>
  <c r="AM28" i="3"/>
  <c r="BK28" i="3"/>
  <c r="BP28" i="3" s="1"/>
  <c r="X28" i="3" s="1"/>
  <c r="AZ10" i="3"/>
  <c r="AS20" i="3"/>
  <c r="AA20" i="3"/>
  <c r="AX20" i="3" s="1"/>
  <c r="H30" i="2"/>
  <c r="E264" i="11"/>
  <c r="E260" i="11"/>
  <c r="E256" i="11"/>
  <c r="D264" i="11"/>
  <c r="D260" i="11"/>
  <c r="G265" i="11"/>
  <c r="K265" i="11" s="1"/>
  <c r="C264" i="11"/>
  <c r="H264" i="11" s="1"/>
  <c r="G261" i="11"/>
  <c r="K261" i="11" s="1"/>
  <c r="C260" i="11"/>
  <c r="H260" i="11" s="1"/>
  <c r="G257" i="11"/>
  <c r="K257" i="11" s="1"/>
  <c r="C256" i="11"/>
  <c r="H256" i="11" s="1"/>
  <c r="G264" i="11"/>
  <c r="K264" i="11" s="1"/>
  <c r="C263" i="11"/>
  <c r="H263" i="11" s="1"/>
  <c r="G260" i="11"/>
  <c r="C259" i="11"/>
  <c r="H259" i="11" s="1"/>
  <c r="G256" i="11"/>
  <c r="K256" i="11" s="1"/>
  <c r="F262" i="11"/>
  <c r="G255" i="11"/>
  <c r="K255" i="11" s="1"/>
  <c r="C254" i="11"/>
  <c r="H254" i="11" s="1"/>
  <c r="E262" i="11"/>
  <c r="F255" i="11"/>
  <c r="D262" i="11"/>
  <c r="E255" i="11"/>
  <c r="C262" i="11"/>
  <c r="H262" i="11" s="1"/>
  <c r="F260" i="11"/>
  <c r="G258" i="11"/>
  <c r="D255" i="11"/>
  <c r="F265" i="11"/>
  <c r="F258" i="11"/>
  <c r="C255" i="11"/>
  <c r="H255" i="11" s="1"/>
  <c r="E265" i="11"/>
  <c r="E258" i="11"/>
  <c r="D265" i="11"/>
  <c r="D258" i="11"/>
  <c r="C265" i="11"/>
  <c r="H265" i="11" s="1"/>
  <c r="G263" i="11"/>
  <c r="K263" i="11" s="1"/>
  <c r="C258" i="11"/>
  <c r="H258" i="11" s="1"/>
  <c r="F256" i="11"/>
  <c r="F263" i="11"/>
  <c r="F261" i="11"/>
  <c r="D256" i="11"/>
  <c r="E263" i="11"/>
  <c r="E261" i="11"/>
  <c r="D263" i="11"/>
  <c r="D261" i="11"/>
  <c r="C261" i="11"/>
  <c r="H261" i="11" s="1"/>
  <c r="G259" i="11"/>
  <c r="K259" i="11" s="1"/>
  <c r="F259" i="11"/>
  <c r="E259" i="11"/>
  <c r="E257" i="11"/>
  <c r="F254" i="11"/>
  <c r="D259" i="11"/>
  <c r="D257" i="11"/>
  <c r="E254" i="11"/>
  <c r="F264" i="11"/>
  <c r="G262" i="11"/>
  <c r="K262" i="11" s="1"/>
  <c r="F257" i="11"/>
  <c r="C257" i="11"/>
  <c r="H257" i="11" s="1"/>
  <c r="G254" i="11"/>
  <c r="K254" i="11" s="1"/>
  <c r="D254" i="11"/>
  <c r="BC28" i="3"/>
  <c r="BB28" i="3"/>
  <c r="G34" i="3"/>
  <c r="BC34" i="3"/>
  <c r="BB34" i="3"/>
  <c r="AS36" i="3"/>
  <c r="F479" i="11"/>
  <c r="F475" i="11"/>
  <c r="F471" i="11"/>
  <c r="E479" i="11"/>
  <c r="E475" i="11"/>
  <c r="E471" i="11"/>
  <c r="D479" i="11"/>
  <c r="D475" i="11"/>
  <c r="D471" i="11"/>
  <c r="D478" i="11"/>
  <c r="C478" i="11"/>
  <c r="H478" i="11" s="1"/>
  <c r="D476" i="11"/>
  <c r="C471" i="11"/>
  <c r="H471" i="11" s="1"/>
  <c r="G481" i="11"/>
  <c r="K481" i="11" s="1"/>
  <c r="C476" i="11"/>
  <c r="H476" i="11" s="1"/>
  <c r="G474" i="11"/>
  <c r="K474" i="11" s="1"/>
  <c r="F481" i="11"/>
  <c r="F474" i="11"/>
  <c r="E481" i="11"/>
  <c r="E474" i="11"/>
  <c r="G472" i="11"/>
  <c r="K472" i="11" s="1"/>
  <c r="D481" i="11"/>
  <c r="G479" i="11"/>
  <c r="K479" i="11" s="1"/>
  <c r="D474" i="11"/>
  <c r="F472" i="11"/>
  <c r="C481" i="11"/>
  <c r="H481" i="11" s="1"/>
  <c r="C479" i="11"/>
  <c r="H479" i="11" s="1"/>
  <c r="G477" i="11"/>
  <c r="K477" i="11" s="1"/>
  <c r="C474" i="11"/>
  <c r="H474" i="11" s="1"/>
  <c r="E472" i="11"/>
  <c r="F477" i="11"/>
  <c r="D472" i="11"/>
  <c r="E477" i="11"/>
  <c r="D477" i="11"/>
  <c r="G475" i="11"/>
  <c r="K475" i="11" s="1"/>
  <c r="G470" i="11"/>
  <c r="K470" i="11" s="1"/>
  <c r="G480" i="11"/>
  <c r="K480" i="11" s="1"/>
  <c r="C477" i="11"/>
  <c r="H477" i="11" s="1"/>
  <c r="C475" i="11"/>
  <c r="H475" i="11" s="1"/>
  <c r="F470" i="11"/>
  <c r="F480" i="11"/>
  <c r="G473" i="11"/>
  <c r="K473" i="11" s="1"/>
  <c r="C480" i="11"/>
  <c r="H480" i="11" s="1"/>
  <c r="G478" i="11"/>
  <c r="G476" i="11"/>
  <c r="D473" i="11"/>
  <c r="F478" i="11"/>
  <c r="F476" i="11"/>
  <c r="C473" i="11"/>
  <c r="H473" i="11" s="1"/>
  <c r="D480" i="11"/>
  <c r="G471" i="11"/>
  <c r="K471" i="11" s="1"/>
  <c r="E470" i="11"/>
  <c r="E478" i="11"/>
  <c r="D470" i="11"/>
  <c r="C470" i="11"/>
  <c r="H470" i="11" s="1"/>
  <c r="E476" i="11"/>
  <c r="F473" i="11"/>
  <c r="E473" i="11"/>
  <c r="C472" i="11"/>
  <c r="H472" i="11" s="1"/>
  <c r="E480" i="11"/>
  <c r="E60" i="11"/>
  <c r="E56" i="11"/>
  <c r="E52" i="11"/>
  <c r="D60" i="11"/>
  <c r="D56" i="11"/>
  <c r="D52" i="11"/>
  <c r="G61" i="11"/>
  <c r="K61" i="11" s="1"/>
  <c r="C60" i="11"/>
  <c r="H60" i="11" s="1"/>
  <c r="G57" i="11"/>
  <c r="K57" i="11" s="1"/>
  <c r="C56" i="11"/>
  <c r="H56" i="11" s="1"/>
  <c r="G53" i="11"/>
  <c r="K53" i="11" s="1"/>
  <c r="C52" i="11"/>
  <c r="H52" i="11" s="1"/>
  <c r="G60" i="11"/>
  <c r="K60" i="11" s="1"/>
  <c r="C59" i="11"/>
  <c r="H59" i="11" s="1"/>
  <c r="G56" i="11"/>
  <c r="C55" i="11"/>
  <c r="H55" i="11" s="1"/>
  <c r="G52" i="11"/>
  <c r="K52" i="11" s="1"/>
  <c r="C51" i="11"/>
  <c r="H51" i="11" s="1"/>
  <c r="F58" i="11"/>
  <c r="F51" i="11"/>
  <c r="E58" i="11"/>
  <c r="E51" i="11"/>
  <c r="D58" i="11"/>
  <c r="D51" i="11"/>
  <c r="C58" i="11"/>
  <c r="H58" i="11" s="1"/>
  <c r="F56" i="11"/>
  <c r="G54" i="11"/>
  <c r="K54" i="11" s="1"/>
  <c r="F61" i="11"/>
  <c r="F54" i="11"/>
  <c r="E61" i="11"/>
  <c r="E54" i="11"/>
  <c r="D61" i="11"/>
  <c r="D54" i="11"/>
  <c r="C61" i="11"/>
  <c r="H61" i="11" s="1"/>
  <c r="G59" i="11"/>
  <c r="K59" i="11" s="1"/>
  <c r="C54" i="11"/>
  <c r="H54" i="11" s="1"/>
  <c r="F52" i="11"/>
  <c r="G50" i="11"/>
  <c r="K50" i="11" s="1"/>
  <c r="F59" i="11"/>
  <c r="F57" i="11"/>
  <c r="F50" i="11"/>
  <c r="E59" i="11"/>
  <c r="E57" i="11"/>
  <c r="E50" i="11"/>
  <c r="D59" i="11"/>
  <c r="D57" i="11"/>
  <c r="D50" i="11"/>
  <c r="C57" i="11"/>
  <c r="H57" i="11" s="1"/>
  <c r="G55" i="11"/>
  <c r="K55" i="11" s="1"/>
  <c r="C50" i="11"/>
  <c r="H50" i="11" s="1"/>
  <c r="F55" i="11"/>
  <c r="F53" i="11"/>
  <c r="E55" i="11"/>
  <c r="E53" i="11"/>
  <c r="D55" i="11"/>
  <c r="D53" i="11"/>
  <c r="F60" i="11"/>
  <c r="G58" i="11"/>
  <c r="K58" i="11" s="1"/>
  <c r="C53" i="11"/>
  <c r="H53" i="11" s="1"/>
  <c r="G51" i="11"/>
  <c r="F28" i="2"/>
  <c r="BB4" i="3"/>
  <c r="AT26" i="3"/>
  <c r="AV26" i="3"/>
  <c r="BK42" i="3"/>
  <c r="BM42" i="3" s="1"/>
  <c r="I42" i="3" s="1"/>
  <c r="AM42" i="3"/>
  <c r="AA63" i="3"/>
  <c r="AX63" i="3" s="1"/>
  <c r="AS63" i="3"/>
  <c r="AM27" i="3"/>
  <c r="F515" i="11"/>
  <c r="F511" i="11"/>
  <c r="F507" i="11"/>
  <c r="E515" i="11"/>
  <c r="E511" i="11"/>
  <c r="E507" i="11"/>
  <c r="D515" i="11"/>
  <c r="D511" i="11"/>
  <c r="D507" i="11"/>
  <c r="D514" i="11"/>
  <c r="D510" i="11"/>
  <c r="D506" i="11"/>
  <c r="D517" i="11"/>
  <c r="G515" i="11"/>
  <c r="K515" i="11" s="1"/>
  <c r="C510" i="11"/>
  <c r="H510" i="11" s="1"/>
  <c r="D508" i="11"/>
  <c r="C517" i="11"/>
  <c r="H517" i="11" s="1"/>
  <c r="C515" i="11"/>
  <c r="H515" i="11" s="1"/>
  <c r="G513" i="11"/>
  <c r="C508" i="11"/>
  <c r="H508" i="11" s="1"/>
  <c r="G506" i="11"/>
  <c r="K506" i="11" s="1"/>
  <c r="F513" i="11"/>
  <c r="F506" i="11"/>
  <c r="E513" i="11"/>
  <c r="E506" i="11"/>
  <c r="D513" i="11"/>
  <c r="G511" i="11"/>
  <c r="K511" i="11" s="1"/>
  <c r="C506" i="11"/>
  <c r="H506" i="11" s="1"/>
  <c r="G516" i="11"/>
  <c r="K516" i="11" s="1"/>
  <c r="C513" i="11"/>
  <c r="H513" i="11" s="1"/>
  <c r="C511" i="11"/>
  <c r="H511" i="11" s="1"/>
  <c r="G509" i="11"/>
  <c r="K509" i="11" s="1"/>
  <c r="F516" i="11"/>
  <c r="F509" i="11"/>
  <c r="E516" i="11"/>
  <c r="E509" i="11"/>
  <c r="D516" i="11"/>
  <c r="D509" i="11"/>
  <c r="G507" i="11"/>
  <c r="C516" i="11"/>
  <c r="H516" i="11" s="1"/>
  <c r="G514" i="11"/>
  <c r="G512" i="11"/>
  <c r="K512" i="11" s="1"/>
  <c r="C509" i="11"/>
  <c r="H509" i="11" s="1"/>
  <c r="C507" i="11"/>
  <c r="H507" i="11" s="1"/>
  <c r="F514" i="11"/>
  <c r="F512" i="11"/>
  <c r="E514" i="11"/>
  <c r="E512" i="11"/>
  <c r="C514" i="11"/>
  <c r="H514" i="11" s="1"/>
  <c r="D512" i="11"/>
  <c r="G517" i="11"/>
  <c r="K517" i="11" s="1"/>
  <c r="C512" i="11"/>
  <c r="H512" i="11" s="1"/>
  <c r="G510" i="11"/>
  <c r="G508" i="11"/>
  <c r="F517" i="11"/>
  <c r="F510" i="11"/>
  <c r="F508" i="11"/>
  <c r="E517" i="11"/>
  <c r="E510" i="11"/>
  <c r="E508" i="11"/>
  <c r="E84" i="11"/>
  <c r="E80" i="11"/>
  <c r="E76" i="11"/>
  <c r="D84" i="11"/>
  <c r="D80" i="11"/>
  <c r="D76" i="11"/>
  <c r="G85" i="11"/>
  <c r="C84" i="11"/>
  <c r="H84" i="11" s="1"/>
  <c r="G81" i="11"/>
  <c r="K81" i="11" s="1"/>
  <c r="C80" i="11"/>
  <c r="H80" i="11" s="1"/>
  <c r="G77" i="11"/>
  <c r="K77" i="11" s="1"/>
  <c r="C76" i="11"/>
  <c r="H76" i="11" s="1"/>
  <c r="G84" i="11"/>
  <c r="K84" i="11" s="1"/>
  <c r="C83" i="11"/>
  <c r="H83" i="11" s="1"/>
  <c r="G80" i="11"/>
  <c r="K80" i="11" s="1"/>
  <c r="C79" i="11"/>
  <c r="H79" i="11" s="1"/>
  <c r="G76" i="11"/>
  <c r="C75" i="11"/>
  <c r="H75" i="11" s="1"/>
  <c r="F83" i="11"/>
  <c r="F81" i="11"/>
  <c r="F74" i="11"/>
  <c r="E83" i="11"/>
  <c r="E81" i="11"/>
  <c r="E74" i="11"/>
  <c r="D83" i="11"/>
  <c r="D81" i="11"/>
  <c r="D74" i="11"/>
  <c r="C81" i="11"/>
  <c r="H81" i="11" s="1"/>
  <c r="G79" i="11"/>
  <c r="K79" i="11" s="1"/>
  <c r="C74" i="11"/>
  <c r="H74" i="11" s="1"/>
  <c r="F79" i="11"/>
  <c r="F77" i="11"/>
  <c r="E79" i="11"/>
  <c r="E77" i="11"/>
  <c r="D79" i="11"/>
  <c r="D77" i="11"/>
  <c r="F84" i="11"/>
  <c r="G82" i="11"/>
  <c r="K82" i="11" s="1"/>
  <c r="C77" i="11"/>
  <c r="H77" i="11" s="1"/>
  <c r="G75" i="11"/>
  <c r="K75" i="11" s="1"/>
  <c r="F82" i="11"/>
  <c r="F75" i="11"/>
  <c r="E82" i="11"/>
  <c r="E75" i="11"/>
  <c r="D82" i="11"/>
  <c r="D75" i="11"/>
  <c r="C82" i="11"/>
  <c r="H82" i="11" s="1"/>
  <c r="F80" i="11"/>
  <c r="G78" i="11"/>
  <c r="K78" i="11" s="1"/>
  <c r="F85" i="11"/>
  <c r="F78" i="11"/>
  <c r="E85" i="11"/>
  <c r="E78" i="11"/>
  <c r="D85" i="11"/>
  <c r="D78" i="11"/>
  <c r="C85" i="11"/>
  <c r="H85" i="11" s="1"/>
  <c r="G83" i="11"/>
  <c r="K83" i="11" s="1"/>
  <c r="C78" i="11"/>
  <c r="H78" i="11" s="1"/>
  <c r="F76" i="11"/>
  <c r="G74" i="11"/>
  <c r="K74" i="11" s="1"/>
  <c r="BK40" i="3"/>
  <c r="BP40" i="3" s="1"/>
  <c r="X40" i="3" s="1"/>
  <c r="AM40" i="3"/>
  <c r="F503" i="11"/>
  <c r="F499" i="11"/>
  <c r="F495" i="11"/>
  <c r="E503" i="11"/>
  <c r="E499" i="11"/>
  <c r="E495" i="11"/>
  <c r="D503" i="11"/>
  <c r="D499" i="11"/>
  <c r="D495" i="11"/>
  <c r="D502" i="11"/>
  <c r="D498" i="11"/>
  <c r="D494" i="11"/>
  <c r="D501" i="11"/>
  <c r="G499" i="11"/>
  <c r="K499" i="11" s="1"/>
  <c r="C494" i="11"/>
  <c r="H494" i="11" s="1"/>
  <c r="G504" i="11"/>
  <c r="K504" i="11" s="1"/>
  <c r="C501" i="11"/>
  <c r="H501" i="11" s="1"/>
  <c r="C499" i="11"/>
  <c r="H499" i="11" s="1"/>
  <c r="G497" i="11"/>
  <c r="F504" i="11"/>
  <c r="F497" i="11"/>
  <c r="E504" i="11"/>
  <c r="E497" i="11"/>
  <c r="D504" i="11"/>
  <c r="D497" i="11"/>
  <c r="G495" i="11"/>
  <c r="K495" i="11" s="1"/>
  <c r="C504" i="11"/>
  <c r="H504" i="11" s="1"/>
  <c r="G502" i="11"/>
  <c r="K502" i="11" s="1"/>
  <c r="G500" i="11"/>
  <c r="K500" i="11" s="1"/>
  <c r="C497" i="11"/>
  <c r="H497" i="11" s="1"/>
  <c r="C495" i="11"/>
  <c r="H495" i="11" s="1"/>
  <c r="F502" i="11"/>
  <c r="F500" i="11"/>
  <c r="E502" i="11"/>
  <c r="E500" i="11"/>
  <c r="C502" i="11"/>
  <c r="H502" i="11" s="1"/>
  <c r="D500" i="11"/>
  <c r="G505" i="11"/>
  <c r="C500" i="11"/>
  <c r="H500" i="11" s="1"/>
  <c r="G498" i="11"/>
  <c r="K498" i="11" s="1"/>
  <c r="G496" i="11"/>
  <c r="F505" i="11"/>
  <c r="F498" i="11"/>
  <c r="F496" i="11"/>
  <c r="E505" i="11"/>
  <c r="E498" i="11"/>
  <c r="E496" i="11"/>
  <c r="D505" i="11"/>
  <c r="G503" i="11"/>
  <c r="K503" i="11" s="1"/>
  <c r="C498" i="11"/>
  <c r="H498" i="11" s="1"/>
  <c r="D496" i="11"/>
  <c r="C505" i="11"/>
  <c r="H505" i="11" s="1"/>
  <c r="C503" i="11"/>
  <c r="H503" i="11" s="1"/>
  <c r="G501" i="11"/>
  <c r="C496" i="11"/>
  <c r="H496" i="11" s="1"/>
  <c r="G494" i="11"/>
  <c r="K494" i="11" s="1"/>
  <c r="F501" i="11"/>
  <c r="F494" i="11"/>
  <c r="E501" i="11"/>
  <c r="E494" i="11"/>
  <c r="E804" i="11"/>
  <c r="E800" i="11"/>
  <c r="E796" i="11"/>
  <c r="D804" i="11"/>
  <c r="D800" i="11"/>
  <c r="D796" i="11"/>
  <c r="G804" i="11"/>
  <c r="E801" i="11"/>
  <c r="E798" i="11"/>
  <c r="E795" i="11"/>
  <c r="F804" i="11"/>
  <c r="D801" i="11"/>
  <c r="D798" i="11"/>
  <c r="D795" i="11"/>
  <c r="C804" i="11"/>
  <c r="H804" i="11" s="1"/>
  <c r="C801" i="11"/>
  <c r="H801" i="11" s="1"/>
  <c r="C798" i="11"/>
  <c r="H798" i="11" s="1"/>
  <c r="C795" i="11"/>
  <c r="H795" i="11" s="1"/>
  <c r="G805" i="11"/>
  <c r="K805" i="11" s="1"/>
  <c r="G802" i="11"/>
  <c r="K802" i="11" s="1"/>
  <c r="G799" i="11"/>
  <c r="K799" i="11" s="1"/>
  <c r="G796" i="11"/>
  <c r="K796" i="11" s="1"/>
  <c r="F805" i="11"/>
  <c r="F802" i="11"/>
  <c r="F799" i="11"/>
  <c r="F796" i="11"/>
  <c r="E805" i="11"/>
  <c r="E802" i="11"/>
  <c r="E799" i="11"/>
  <c r="C796" i="11"/>
  <c r="H796" i="11" s="1"/>
  <c r="D805" i="11"/>
  <c r="D802" i="11"/>
  <c r="D799" i="11"/>
  <c r="C805" i="11"/>
  <c r="H805" i="11" s="1"/>
  <c r="C802" i="11"/>
  <c r="H802" i="11" s="1"/>
  <c r="C799" i="11"/>
  <c r="H799" i="11" s="1"/>
  <c r="G797" i="11"/>
  <c r="K797" i="11" s="1"/>
  <c r="G794" i="11"/>
  <c r="K794" i="11" s="1"/>
  <c r="F797" i="11"/>
  <c r="F794" i="11"/>
  <c r="G803" i="11"/>
  <c r="K803" i="11" s="1"/>
  <c r="G800" i="11"/>
  <c r="K800" i="11" s="1"/>
  <c r="E797" i="11"/>
  <c r="E794" i="11"/>
  <c r="F803" i="11"/>
  <c r="F800" i="11"/>
  <c r="D797" i="11"/>
  <c r="D794" i="11"/>
  <c r="E803" i="11"/>
  <c r="C800" i="11"/>
  <c r="H800" i="11" s="1"/>
  <c r="C797" i="11"/>
  <c r="H797" i="11" s="1"/>
  <c r="C794" i="11"/>
  <c r="H794" i="11" s="1"/>
  <c r="D803" i="11"/>
  <c r="C803" i="11"/>
  <c r="H803" i="11" s="1"/>
  <c r="G801" i="11"/>
  <c r="G798" i="11"/>
  <c r="K798" i="11" s="1"/>
  <c r="G795" i="11"/>
  <c r="K795" i="11" s="1"/>
  <c r="F801" i="11"/>
  <c r="F798" i="11"/>
  <c r="F795" i="11"/>
  <c r="G203" i="11"/>
  <c r="K203" i="11" s="1"/>
  <c r="C202" i="11"/>
  <c r="H202" i="11" s="1"/>
  <c r="G199" i="11"/>
  <c r="K199" i="11" s="1"/>
  <c r="C198" i="11"/>
  <c r="H198" i="11" s="1"/>
  <c r="G195" i="11"/>
  <c r="K195" i="11" s="1"/>
  <c r="C194" i="11"/>
  <c r="H194" i="11" s="1"/>
  <c r="F203" i="11"/>
  <c r="F199" i="11"/>
  <c r="F195" i="11"/>
  <c r="E203" i="11"/>
  <c r="E199" i="11"/>
  <c r="E195" i="11"/>
  <c r="E202" i="11"/>
  <c r="E198" i="11"/>
  <c r="E194" i="11"/>
  <c r="D204" i="11"/>
  <c r="D197" i="11"/>
  <c r="D195" i="11"/>
  <c r="C204" i="11"/>
  <c r="H204" i="11" s="1"/>
  <c r="G202" i="11"/>
  <c r="K202" i="11" s="1"/>
  <c r="G200" i="11"/>
  <c r="K200" i="11" s="1"/>
  <c r="C197" i="11"/>
  <c r="H197" i="11" s="1"/>
  <c r="C195" i="11"/>
  <c r="H195" i="11" s="1"/>
  <c r="F202" i="11"/>
  <c r="F200" i="11"/>
  <c r="D202" i="11"/>
  <c r="E200" i="11"/>
  <c r="D200" i="11"/>
  <c r="G205" i="11"/>
  <c r="C200" i="11"/>
  <c r="H200" i="11" s="1"/>
  <c r="G198" i="11"/>
  <c r="G196" i="11"/>
  <c r="K196" i="11" s="1"/>
  <c r="F205" i="11"/>
  <c r="F198" i="11"/>
  <c r="F196" i="11"/>
  <c r="E205" i="11"/>
  <c r="D198" i="11"/>
  <c r="E196" i="11"/>
  <c r="D205" i="11"/>
  <c r="D203" i="11"/>
  <c r="D196" i="11"/>
  <c r="C205" i="11"/>
  <c r="H205" i="11" s="1"/>
  <c r="C203" i="11"/>
  <c r="H203" i="11" s="1"/>
  <c r="G201" i="11"/>
  <c r="K201" i="11" s="1"/>
  <c r="C196" i="11"/>
  <c r="H196" i="11" s="1"/>
  <c r="G194" i="11"/>
  <c r="K194" i="11" s="1"/>
  <c r="F201" i="11"/>
  <c r="F194" i="11"/>
  <c r="E201" i="11"/>
  <c r="D194" i="11"/>
  <c r="D201" i="11"/>
  <c r="D199" i="11"/>
  <c r="G204" i="11"/>
  <c r="K204" i="11" s="1"/>
  <c r="C201" i="11"/>
  <c r="H201" i="11" s="1"/>
  <c r="C199" i="11"/>
  <c r="H199" i="11" s="1"/>
  <c r="G197" i="11"/>
  <c r="K197" i="11" s="1"/>
  <c r="F204" i="11"/>
  <c r="F197" i="11"/>
  <c r="E204" i="11"/>
  <c r="E197" i="11"/>
  <c r="AT12" i="3"/>
  <c r="AA15" i="3"/>
  <c r="AX15" i="3" s="1"/>
  <c r="AS15" i="3"/>
  <c r="G167" i="11"/>
  <c r="K167" i="11" s="1"/>
  <c r="C166" i="11"/>
  <c r="H166" i="11" s="1"/>
  <c r="G163" i="11"/>
  <c r="K163" i="11" s="1"/>
  <c r="C162" i="11"/>
  <c r="H162" i="11" s="1"/>
  <c r="G159" i="11"/>
  <c r="K159" i="11" s="1"/>
  <c r="C158" i="11"/>
  <c r="H158" i="11" s="1"/>
  <c r="F167" i="11"/>
  <c r="F163" i="11"/>
  <c r="F159" i="11"/>
  <c r="E167" i="11"/>
  <c r="E163" i="11"/>
  <c r="E159" i="11"/>
  <c r="E166" i="11"/>
  <c r="E162" i="11"/>
  <c r="E158" i="11"/>
  <c r="D165" i="11"/>
  <c r="D163" i="11"/>
  <c r="G168" i="11"/>
  <c r="K168" i="11" s="1"/>
  <c r="C165" i="11"/>
  <c r="H165" i="11" s="1"/>
  <c r="C163" i="11"/>
  <c r="H163" i="11" s="1"/>
  <c r="G161" i="11"/>
  <c r="K161" i="11" s="1"/>
  <c r="F168" i="11"/>
  <c r="F161" i="11"/>
  <c r="E168" i="11"/>
  <c r="E161" i="11"/>
  <c r="D168" i="11"/>
  <c r="D161" i="11"/>
  <c r="D159" i="11"/>
  <c r="C168" i="11"/>
  <c r="H168" i="11" s="1"/>
  <c r="G166" i="11"/>
  <c r="K166" i="11" s="1"/>
  <c r="G164" i="11"/>
  <c r="K164" i="11" s="1"/>
  <c r="C161" i="11"/>
  <c r="H161" i="11" s="1"/>
  <c r="C159" i="11"/>
  <c r="H159" i="11" s="1"/>
  <c r="F166" i="11"/>
  <c r="F164" i="11"/>
  <c r="D166" i="11"/>
  <c r="E164" i="11"/>
  <c r="D164" i="11"/>
  <c r="G169" i="11"/>
  <c r="K169" i="11" s="1"/>
  <c r="C164" i="11"/>
  <c r="H164" i="11" s="1"/>
  <c r="G162" i="11"/>
  <c r="G160" i="11"/>
  <c r="F169" i="11"/>
  <c r="F162" i="11"/>
  <c r="F160" i="11"/>
  <c r="E169" i="11"/>
  <c r="D162" i="11"/>
  <c r="E160" i="11"/>
  <c r="D169" i="11"/>
  <c r="D167" i="11"/>
  <c r="D160" i="11"/>
  <c r="C169" i="11"/>
  <c r="H169" i="11" s="1"/>
  <c r="C167" i="11"/>
  <c r="H167" i="11" s="1"/>
  <c r="G165" i="11"/>
  <c r="K165" i="11" s="1"/>
  <c r="C160" i="11"/>
  <c r="H160" i="11" s="1"/>
  <c r="G158" i="11"/>
  <c r="F165" i="11"/>
  <c r="F158" i="11"/>
  <c r="D158" i="11"/>
  <c r="E165" i="11"/>
  <c r="L276" i="11"/>
  <c r="L267" i="11"/>
  <c r="G26" i="3"/>
  <c r="BC26" i="3"/>
  <c r="BB32" i="3"/>
  <c r="F491" i="11"/>
  <c r="F487" i="11"/>
  <c r="F483" i="11"/>
  <c r="E491" i="11"/>
  <c r="E487" i="11"/>
  <c r="E483" i="11"/>
  <c r="D491" i="11"/>
  <c r="D487" i="11"/>
  <c r="D483" i="11"/>
  <c r="D490" i="11"/>
  <c r="D486" i="11"/>
  <c r="D482" i="11"/>
  <c r="D492" i="11"/>
  <c r="D485" i="11"/>
  <c r="G483" i="11"/>
  <c r="K483" i="11" s="1"/>
  <c r="C492" i="11"/>
  <c r="H492" i="11" s="1"/>
  <c r="G490" i="11"/>
  <c r="K490" i="11" s="1"/>
  <c r="G488" i="11"/>
  <c r="K488" i="11" s="1"/>
  <c r="C485" i="11"/>
  <c r="H485" i="11" s="1"/>
  <c r="C483" i="11"/>
  <c r="H483" i="11" s="1"/>
  <c r="F490" i="11"/>
  <c r="F488" i="11"/>
  <c r="E490" i="11"/>
  <c r="E488" i="11"/>
  <c r="C490" i="11"/>
  <c r="H490" i="11" s="1"/>
  <c r="D488" i="11"/>
  <c r="G493" i="11"/>
  <c r="K493" i="11" s="1"/>
  <c r="C488" i="11"/>
  <c r="H488" i="11" s="1"/>
  <c r="G486" i="11"/>
  <c r="G484" i="11"/>
  <c r="F493" i="11"/>
  <c r="F486" i="11"/>
  <c r="F484" i="11"/>
  <c r="E493" i="11"/>
  <c r="E486" i="11"/>
  <c r="E484" i="11"/>
  <c r="D493" i="11"/>
  <c r="G491" i="11"/>
  <c r="K491" i="11" s="1"/>
  <c r="C486" i="11"/>
  <c r="H486" i="11" s="1"/>
  <c r="D484" i="11"/>
  <c r="C493" i="11"/>
  <c r="H493" i="11" s="1"/>
  <c r="C491" i="11"/>
  <c r="H491" i="11" s="1"/>
  <c r="G489" i="11"/>
  <c r="C484" i="11"/>
  <c r="H484" i="11" s="1"/>
  <c r="G482" i="11"/>
  <c r="F489" i="11"/>
  <c r="F482" i="11"/>
  <c r="E489" i="11"/>
  <c r="G492" i="11"/>
  <c r="K492" i="11" s="1"/>
  <c r="C489" i="11"/>
  <c r="H489" i="11" s="1"/>
  <c r="C487" i="11"/>
  <c r="H487" i="11" s="1"/>
  <c r="G485" i="11"/>
  <c r="K485" i="11" s="1"/>
  <c r="F492" i="11"/>
  <c r="F485" i="11"/>
  <c r="E492" i="11"/>
  <c r="D489" i="11"/>
  <c r="G487" i="11"/>
  <c r="K487" i="11" s="1"/>
  <c r="E485" i="11"/>
  <c r="E482" i="11"/>
  <c r="C482" i="11"/>
  <c r="H482" i="11" s="1"/>
  <c r="BC12" i="3"/>
  <c r="BB12" i="3"/>
  <c r="G251" i="11"/>
  <c r="K251" i="11" s="1"/>
  <c r="C250" i="11"/>
  <c r="H250" i="11" s="1"/>
  <c r="G247" i="11"/>
  <c r="K247" i="11" s="1"/>
  <c r="C246" i="11"/>
  <c r="H246" i="11" s="1"/>
  <c r="G243" i="11"/>
  <c r="K243" i="11" s="1"/>
  <c r="C242" i="11"/>
  <c r="H242" i="11" s="1"/>
  <c r="F251" i="11"/>
  <c r="F247" i="11"/>
  <c r="F243" i="11"/>
  <c r="E251" i="11"/>
  <c r="E247" i="11"/>
  <c r="E243" i="11"/>
  <c r="D251" i="11"/>
  <c r="D247" i="11"/>
  <c r="D243" i="11"/>
  <c r="G252" i="11"/>
  <c r="K252" i="11" s="1"/>
  <c r="C251" i="11"/>
  <c r="H251" i="11" s="1"/>
  <c r="G248" i="11"/>
  <c r="K248" i="11" s="1"/>
  <c r="C247" i="11"/>
  <c r="H247" i="11" s="1"/>
  <c r="G244" i="11"/>
  <c r="K244" i="11" s="1"/>
  <c r="C243" i="11"/>
  <c r="H243" i="11" s="1"/>
  <c r="F252" i="11"/>
  <c r="F248" i="11"/>
  <c r="F244" i="11"/>
  <c r="E252" i="11"/>
  <c r="E248" i="11"/>
  <c r="E244" i="11"/>
  <c r="D252" i="11"/>
  <c r="G253" i="11"/>
  <c r="K253" i="11" s="1"/>
  <c r="C252" i="11"/>
  <c r="H252" i="11" s="1"/>
  <c r="G249" i="11"/>
  <c r="K249" i="11" s="1"/>
  <c r="C248" i="11"/>
  <c r="H248" i="11" s="1"/>
  <c r="G245" i="11"/>
  <c r="K245" i="11" s="1"/>
  <c r="C244" i="11"/>
  <c r="H244" i="11" s="1"/>
  <c r="F253" i="11"/>
  <c r="F249" i="11"/>
  <c r="F245" i="11"/>
  <c r="E253" i="11"/>
  <c r="E249" i="11"/>
  <c r="F250" i="11"/>
  <c r="E250" i="11"/>
  <c r="E246" i="11"/>
  <c r="E242" i="11"/>
  <c r="G246" i="11"/>
  <c r="K246" i="11" s="1"/>
  <c r="F246" i="11"/>
  <c r="G250" i="11"/>
  <c r="K250" i="11" s="1"/>
  <c r="D246" i="11"/>
  <c r="G242" i="11"/>
  <c r="K242" i="11" s="1"/>
  <c r="D250" i="11"/>
  <c r="F242" i="11"/>
  <c r="D249" i="11"/>
  <c r="E245" i="11"/>
  <c r="D242" i="11"/>
  <c r="C249" i="11"/>
  <c r="H249" i="11" s="1"/>
  <c r="D245" i="11"/>
  <c r="C245" i="11"/>
  <c r="H245" i="11" s="1"/>
  <c r="D248" i="11"/>
  <c r="D244" i="11"/>
  <c r="D253" i="11"/>
  <c r="C253" i="11"/>
  <c r="H253" i="11" s="1"/>
  <c r="E12" i="11"/>
  <c r="E8" i="11"/>
  <c r="E4" i="11"/>
  <c r="D12" i="11"/>
  <c r="D8" i="11"/>
  <c r="D4" i="11"/>
  <c r="G13" i="11"/>
  <c r="K13" i="11" s="1"/>
  <c r="C12" i="11"/>
  <c r="H12" i="11" s="1"/>
  <c r="G9" i="11"/>
  <c r="K9" i="11" s="1"/>
  <c r="C8" i="11"/>
  <c r="H8" i="11" s="1"/>
  <c r="G5" i="11"/>
  <c r="K5" i="11" s="1"/>
  <c r="C4" i="11"/>
  <c r="H4" i="11" s="1"/>
  <c r="G12" i="11"/>
  <c r="K12" i="11" s="1"/>
  <c r="C11" i="11"/>
  <c r="H11" i="11" s="1"/>
  <c r="G8" i="11"/>
  <c r="K8" i="11" s="1"/>
  <c r="C7" i="11"/>
  <c r="H7" i="11" s="1"/>
  <c r="G4" i="11"/>
  <c r="K4" i="11" s="1"/>
  <c r="C3" i="11"/>
  <c r="H3" i="11" s="1"/>
  <c r="F10" i="11"/>
  <c r="F3" i="11"/>
  <c r="E10" i="11"/>
  <c r="E3" i="11"/>
  <c r="D10" i="11"/>
  <c r="D3" i="11"/>
  <c r="C10" i="11"/>
  <c r="H10" i="11" s="1"/>
  <c r="F8" i="11"/>
  <c r="G6" i="11"/>
  <c r="K6" i="11" s="1"/>
  <c r="F13" i="11"/>
  <c r="F6" i="11"/>
  <c r="E13" i="11"/>
  <c r="E6" i="11"/>
  <c r="D13" i="11"/>
  <c r="D6" i="11"/>
  <c r="C13" i="11"/>
  <c r="H13" i="11" s="1"/>
  <c r="G11" i="11"/>
  <c r="K11" i="11" s="1"/>
  <c r="C6" i="11"/>
  <c r="H6" i="11" s="1"/>
  <c r="F4" i="11"/>
  <c r="G2" i="11"/>
  <c r="K2" i="11" s="1"/>
  <c r="F11" i="11"/>
  <c r="F9" i="11"/>
  <c r="F2" i="11"/>
  <c r="E11" i="11"/>
  <c r="E9" i="11"/>
  <c r="E2" i="11"/>
  <c r="D11" i="11"/>
  <c r="D9" i="11"/>
  <c r="D2" i="11"/>
  <c r="C9" i="11"/>
  <c r="H9" i="11" s="1"/>
  <c r="G7" i="11"/>
  <c r="K7" i="11" s="1"/>
  <c r="C2" i="11"/>
  <c r="H2" i="11" s="1"/>
  <c r="F7" i="11"/>
  <c r="F5" i="11"/>
  <c r="E7" i="11"/>
  <c r="E5" i="11"/>
  <c r="D7" i="11"/>
  <c r="D5" i="11"/>
  <c r="G3" i="11"/>
  <c r="K3" i="11" s="1"/>
  <c r="F12" i="11"/>
  <c r="G10" i="11"/>
  <c r="K10" i="11" s="1"/>
  <c r="C5" i="11"/>
  <c r="H5" i="11" s="1"/>
  <c r="G119" i="11"/>
  <c r="C118" i="11"/>
  <c r="H118" i="11" s="1"/>
  <c r="G115" i="11"/>
  <c r="K115" i="11" s="1"/>
  <c r="C114" i="11"/>
  <c r="H114" i="11" s="1"/>
  <c r="G111" i="11"/>
  <c r="K111" i="11" s="1"/>
  <c r="C110" i="11"/>
  <c r="H110" i="11" s="1"/>
  <c r="F119" i="11"/>
  <c r="F115" i="11"/>
  <c r="F111" i="11"/>
  <c r="E119" i="11"/>
  <c r="E115" i="11"/>
  <c r="E111" i="11"/>
  <c r="G117" i="11"/>
  <c r="E114" i="11"/>
  <c r="G112" i="11"/>
  <c r="F117" i="11"/>
  <c r="D114" i="11"/>
  <c r="F112" i="11"/>
  <c r="G120" i="11"/>
  <c r="K120" i="11" s="1"/>
  <c r="E117" i="11"/>
  <c r="E112" i="11"/>
  <c r="F120" i="11"/>
  <c r="D117" i="11"/>
  <c r="D112" i="11"/>
  <c r="E120" i="11"/>
  <c r="C117" i="11"/>
  <c r="H117" i="11" s="1"/>
  <c r="C112" i="11"/>
  <c r="H112" i="11" s="1"/>
  <c r="D120" i="11"/>
  <c r="D115" i="11"/>
  <c r="G110" i="11"/>
  <c r="K110" i="11" s="1"/>
  <c r="C120" i="11"/>
  <c r="H120" i="11" s="1"/>
  <c r="C115" i="11"/>
  <c r="H115" i="11" s="1"/>
  <c r="F110" i="11"/>
  <c r="F118" i="11"/>
  <c r="F113" i="11"/>
  <c r="D110" i="11"/>
  <c r="G121" i="11"/>
  <c r="K121" i="11" s="1"/>
  <c r="E118" i="11"/>
  <c r="D119" i="11"/>
  <c r="G114" i="11"/>
  <c r="K114" i="11" s="1"/>
  <c r="D116" i="11"/>
  <c r="C116" i="11"/>
  <c r="H116" i="11" s="1"/>
  <c r="C119" i="11"/>
  <c r="H119" i="11" s="1"/>
  <c r="D111" i="11"/>
  <c r="G118" i="11"/>
  <c r="K118" i="11" s="1"/>
  <c r="C111" i="11"/>
  <c r="H111" i="11" s="1"/>
  <c r="D118" i="11"/>
  <c r="E110" i="11"/>
  <c r="F114" i="11"/>
  <c r="G113" i="11"/>
  <c r="F121" i="11"/>
  <c r="E113" i="11"/>
  <c r="E121" i="11"/>
  <c r="D113" i="11"/>
  <c r="D121" i="11"/>
  <c r="G116" i="11"/>
  <c r="K116" i="11" s="1"/>
  <c r="C113" i="11"/>
  <c r="H113" i="11" s="1"/>
  <c r="C121" i="11"/>
  <c r="H121" i="11" s="1"/>
  <c r="F116" i="11"/>
  <c r="E116" i="11"/>
  <c r="BB15" i="3"/>
  <c r="AS23" i="3"/>
  <c r="AA23" i="3"/>
  <c r="AX23" i="3" s="1"/>
  <c r="AW24" i="3"/>
  <c r="AU24" i="3"/>
  <c r="C385" i="11"/>
  <c r="H385" i="11" s="1"/>
  <c r="G382" i="11"/>
  <c r="K382" i="11" s="1"/>
  <c r="C381" i="11"/>
  <c r="H381" i="11" s="1"/>
  <c r="G378" i="11"/>
  <c r="C377" i="11"/>
  <c r="H377" i="11" s="1"/>
  <c r="G374" i="11"/>
  <c r="F382" i="11"/>
  <c r="F378" i="11"/>
  <c r="F374" i="11"/>
  <c r="E382" i="11"/>
  <c r="E378" i="11"/>
  <c r="E374" i="11"/>
  <c r="E385" i="11"/>
  <c r="E381" i="11"/>
  <c r="E377" i="11"/>
  <c r="F381" i="11"/>
  <c r="F379" i="11"/>
  <c r="D381" i="11"/>
  <c r="E379" i="11"/>
  <c r="D379" i="11"/>
  <c r="G384" i="11"/>
  <c r="C379" i="11"/>
  <c r="H379" i="11" s="1"/>
  <c r="G377" i="11"/>
  <c r="K377" i="11" s="1"/>
  <c r="G375" i="11"/>
  <c r="K375" i="11" s="1"/>
  <c r="F384" i="11"/>
  <c r="F377" i="11"/>
  <c r="F375" i="11"/>
  <c r="E384" i="11"/>
  <c r="D377" i="11"/>
  <c r="E375" i="11"/>
  <c r="D384" i="11"/>
  <c r="D382" i="11"/>
  <c r="D375" i="11"/>
  <c r="C384" i="11"/>
  <c r="H384" i="11" s="1"/>
  <c r="C382" i="11"/>
  <c r="H382" i="11" s="1"/>
  <c r="G380" i="11"/>
  <c r="K380" i="11" s="1"/>
  <c r="C375" i="11"/>
  <c r="H375" i="11" s="1"/>
  <c r="F380" i="11"/>
  <c r="E380" i="11"/>
  <c r="D380" i="11"/>
  <c r="D378" i="11"/>
  <c r="G385" i="11"/>
  <c r="K385" i="11" s="1"/>
  <c r="G383" i="11"/>
  <c r="K383" i="11" s="1"/>
  <c r="C380" i="11"/>
  <c r="H380" i="11" s="1"/>
  <c r="C378" i="11"/>
  <c r="H378" i="11" s="1"/>
  <c r="G376" i="11"/>
  <c r="K376" i="11" s="1"/>
  <c r="F385" i="11"/>
  <c r="F383" i="11"/>
  <c r="F376" i="11"/>
  <c r="D383" i="11"/>
  <c r="D376" i="11"/>
  <c r="D374" i="11"/>
  <c r="C383" i="11"/>
  <c r="H383" i="11" s="1"/>
  <c r="G381" i="11"/>
  <c r="G379" i="11"/>
  <c r="K379" i="11" s="1"/>
  <c r="E376" i="11"/>
  <c r="C376" i="11"/>
  <c r="H376" i="11" s="1"/>
  <c r="C374" i="11"/>
  <c r="H374" i="11" s="1"/>
  <c r="D385" i="11"/>
  <c r="E383" i="11"/>
  <c r="AS48" i="3"/>
  <c r="AA48" i="3"/>
  <c r="AX48" i="3" s="1"/>
  <c r="AV53" i="3"/>
  <c r="AT53" i="3"/>
  <c r="BC95" i="3"/>
  <c r="BB95" i="3"/>
  <c r="G95" i="3"/>
  <c r="AA27" i="3"/>
  <c r="AX27" i="3" s="1"/>
  <c r="E96" i="11"/>
  <c r="E92" i="11"/>
  <c r="E88" i="11"/>
  <c r="D96" i="11"/>
  <c r="D92" i="11"/>
  <c r="D88" i="11"/>
  <c r="G97" i="11"/>
  <c r="K97" i="11" s="1"/>
  <c r="C96" i="11"/>
  <c r="H96" i="11" s="1"/>
  <c r="G93" i="11"/>
  <c r="K93" i="11" s="1"/>
  <c r="C92" i="11"/>
  <c r="H92" i="11" s="1"/>
  <c r="G89" i="11"/>
  <c r="K89" i="11" s="1"/>
  <c r="C88" i="11"/>
  <c r="H88" i="11" s="1"/>
  <c r="F97" i="11"/>
  <c r="F93" i="11"/>
  <c r="F89" i="11"/>
  <c r="E97" i="11"/>
  <c r="D97" i="11"/>
  <c r="G96" i="11"/>
  <c r="K96" i="11" s="1"/>
  <c r="C95" i="11"/>
  <c r="H95" i="11" s="1"/>
  <c r="G92" i="11"/>
  <c r="K92" i="11" s="1"/>
  <c r="C91" i="11"/>
  <c r="H91" i="11" s="1"/>
  <c r="G88" i="11"/>
  <c r="C87" i="11"/>
  <c r="H87" i="11" s="1"/>
  <c r="G94" i="11"/>
  <c r="F94" i="11"/>
  <c r="G90" i="11"/>
  <c r="K90" i="11" s="1"/>
  <c r="E94" i="11"/>
  <c r="F90" i="11"/>
  <c r="F96" i="11"/>
  <c r="D94" i="11"/>
  <c r="F92" i="11"/>
  <c r="E90" i="11"/>
  <c r="G86" i="11"/>
  <c r="K86" i="11" s="1"/>
  <c r="C94" i="11"/>
  <c r="H94" i="11" s="1"/>
  <c r="D90" i="11"/>
  <c r="F88" i="11"/>
  <c r="F86" i="11"/>
  <c r="C90" i="11"/>
  <c r="H90" i="11" s="1"/>
  <c r="E86" i="11"/>
  <c r="D86" i="11"/>
  <c r="C86" i="11"/>
  <c r="H86" i="11" s="1"/>
  <c r="G95" i="11"/>
  <c r="K95" i="11" s="1"/>
  <c r="E93" i="11"/>
  <c r="F95" i="11"/>
  <c r="D93" i="11"/>
  <c r="G91" i="11"/>
  <c r="K91" i="11" s="1"/>
  <c r="E89" i="11"/>
  <c r="C97" i="11"/>
  <c r="H97" i="11" s="1"/>
  <c r="E95" i="11"/>
  <c r="C93" i="11"/>
  <c r="H93" i="11" s="1"/>
  <c r="F91" i="11"/>
  <c r="D89" i="11"/>
  <c r="G87" i="11"/>
  <c r="K87" i="11" s="1"/>
  <c r="D95" i="11"/>
  <c r="E91" i="11"/>
  <c r="C89" i="11"/>
  <c r="H89" i="11" s="1"/>
  <c r="F87" i="11"/>
  <c r="D91" i="11"/>
  <c r="E87" i="11"/>
  <c r="D87" i="11"/>
  <c r="G131" i="11"/>
  <c r="K131" i="11" s="1"/>
  <c r="C130" i="11"/>
  <c r="H130" i="11" s="1"/>
  <c r="G127" i="11"/>
  <c r="K127" i="11" s="1"/>
  <c r="C126" i="11"/>
  <c r="H126" i="11" s="1"/>
  <c r="G123" i="11"/>
  <c r="K123" i="11" s="1"/>
  <c r="C122" i="11"/>
  <c r="H122" i="11" s="1"/>
  <c r="F131" i="11"/>
  <c r="F127" i="11"/>
  <c r="F123" i="11"/>
  <c r="E131" i="11"/>
  <c r="E127" i="11"/>
  <c r="E123" i="11"/>
  <c r="E130" i="11"/>
  <c r="E126" i="11"/>
  <c r="E122" i="11"/>
  <c r="D133" i="11"/>
  <c r="D131" i="11"/>
  <c r="D124" i="11"/>
  <c r="C133" i="11"/>
  <c r="H133" i="11" s="1"/>
  <c r="C131" i="11"/>
  <c r="H131" i="11" s="1"/>
  <c r="G129" i="11"/>
  <c r="K129" i="11" s="1"/>
  <c r="C124" i="11"/>
  <c r="H124" i="11" s="1"/>
  <c r="G122" i="11"/>
  <c r="K122" i="11" s="1"/>
  <c r="F129" i="11"/>
  <c r="F122" i="11"/>
  <c r="E129" i="11"/>
  <c r="D122" i="11"/>
  <c r="D129" i="11"/>
  <c r="D127" i="11"/>
  <c r="G132" i="11"/>
  <c r="K132" i="11" s="1"/>
  <c r="C129" i="11"/>
  <c r="H129" i="11" s="1"/>
  <c r="C127" i="11"/>
  <c r="H127" i="11" s="1"/>
  <c r="G125" i="11"/>
  <c r="K125" i="11" s="1"/>
  <c r="F132" i="11"/>
  <c r="F125" i="11"/>
  <c r="E132" i="11"/>
  <c r="D132" i="11"/>
  <c r="D125" i="11"/>
  <c r="D123" i="11"/>
  <c r="C132" i="11"/>
  <c r="H132" i="11" s="1"/>
  <c r="G130" i="11"/>
  <c r="K130" i="11" s="1"/>
  <c r="G128" i="11"/>
  <c r="K128" i="11" s="1"/>
  <c r="C125" i="11"/>
  <c r="H125" i="11" s="1"/>
  <c r="C123" i="11"/>
  <c r="H123" i="11" s="1"/>
  <c r="F130" i="11"/>
  <c r="F128" i="11"/>
  <c r="D130" i="11"/>
  <c r="G133" i="11"/>
  <c r="K133" i="11" s="1"/>
  <c r="C128" i="11"/>
  <c r="H128" i="11" s="1"/>
  <c r="G126" i="11"/>
  <c r="K126" i="11" s="1"/>
  <c r="F133" i="11"/>
  <c r="F126" i="11"/>
  <c r="F124" i="11"/>
  <c r="E133" i="11"/>
  <c r="G124" i="11"/>
  <c r="K124" i="11" s="1"/>
  <c r="E124" i="11"/>
  <c r="E128" i="11"/>
  <c r="D128" i="11"/>
  <c r="D126" i="11"/>
  <c r="E125" i="11"/>
  <c r="BC7" i="3"/>
  <c r="BB7" i="3"/>
  <c r="BB5" i="3"/>
  <c r="AA6" i="3"/>
  <c r="AX6" i="3" s="1"/>
  <c r="AS6" i="3"/>
  <c r="AS8" i="3"/>
  <c r="AA8" i="3"/>
  <c r="AX8" i="3" s="1"/>
  <c r="AV12" i="3"/>
  <c r="G155" i="11"/>
  <c r="K155" i="11" s="1"/>
  <c r="C154" i="11"/>
  <c r="H154" i="11" s="1"/>
  <c r="G151" i="11"/>
  <c r="K151" i="11" s="1"/>
  <c r="C150" i="11"/>
  <c r="H150" i="11" s="1"/>
  <c r="G147" i="11"/>
  <c r="C146" i="11"/>
  <c r="H146" i="11" s="1"/>
  <c r="F155" i="11"/>
  <c r="F151" i="11"/>
  <c r="F147" i="11"/>
  <c r="E155" i="11"/>
  <c r="E151" i="11"/>
  <c r="E147" i="11"/>
  <c r="E154" i="11"/>
  <c r="E150" i="11"/>
  <c r="E146" i="11"/>
  <c r="D156" i="11"/>
  <c r="D149" i="11"/>
  <c r="D147" i="11"/>
  <c r="C156" i="11"/>
  <c r="H156" i="11" s="1"/>
  <c r="G154" i="11"/>
  <c r="G152" i="11"/>
  <c r="C149" i="11"/>
  <c r="H149" i="11" s="1"/>
  <c r="C147" i="11"/>
  <c r="H147" i="11" s="1"/>
  <c r="F154" i="11"/>
  <c r="F152" i="11"/>
  <c r="D154" i="11"/>
  <c r="E152" i="11"/>
  <c r="D152" i="11"/>
  <c r="G157" i="11"/>
  <c r="K157" i="11" s="1"/>
  <c r="C152" i="11"/>
  <c r="H152" i="11" s="1"/>
  <c r="G150" i="11"/>
  <c r="K150" i="11" s="1"/>
  <c r="G148" i="11"/>
  <c r="K148" i="11" s="1"/>
  <c r="F157" i="11"/>
  <c r="F150" i="11"/>
  <c r="F148" i="11"/>
  <c r="E157" i="11"/>
  <c r="D150" i="11"/>
  <c r="E148" i="11"/>
  <c r="D157" i="11"/>
  <c r="D155" i="11"/>
  <c r="D148" i="11"/>
  <c r="C157" i="11"/>
  <c r="H157" i="11" s="1"/>
  <c r="C155" i="11"/>
  <c r="H155" i="11" s="1"/>
  <c r="G153" i="11"/>
  <c r="K153" i="11" s="1"/>
  <c r="C148" i="11"/>
  <c r="H148" i="11" s="1"/>
  <c r="G146" i="11"/>
  <c r="K146" i="11" s="1"/>
  <c r="F153" i="11"/>
  <c r="F146" i="11"/>
  <c r="E153" i="11"/>
  <c r="D146" i="11"/>
  <c r="D153" i="11"/>
  <c r="D151" i="11"/>
  <c r="G156" i="11"/>
  <c r="C153" i="11"/>
  <c r="H153" i="11" s="1"/>
  <c r="C151" i="11"/>
  <c r="H151" i="11" s="1"/>
  <c r="G149" i="11"/>
  <c r="K149" i="11" s="1"/>
  <c r="F156" i="11"/>
  <c r="F149" i="11"/>
  <c r="E156" i="11"/>
  <c r="E149" i="11"/>
  <c r="BK17" i="3"/>
  <c r="BN17" i="3" s="1"/>
  <c r="V17" i="3" s="1"/>
  <c r="Y17" i="3" s="1"/>
  <c r="AS19" i="3"/>
  <c r="AA19" i="3"/>
  <c r="AX19" i="3" s="1"/>
  <c r="G215" i="11"/>
  <c r="K215" i="11" s="1"/>
  <c r="C214" i="11"/>
  <c r="H214" i="11" s="1"/>
  <c r="G211" i="11"/>
  <c r="C210" i="11"/>
  <c r="H210" i="11" s="1"/>
  <c r="G207" i="11"/>
  <c r="K207" i="11" s="1"/>
  <c r="C206" i="11"/>
  <c r="H206" i="11" s="1"/>
  <c r="F215" i="11"/>
  <c r="F211" i="11"/>
  <c r="F207" i="11"/>
  <c r="E215" i="11"/>
  <c r="E211" i="11"/>
  <c r="E207" i="11"/>
  <c r="F216" i="11"/>
  <c r="E214" i="11"/>
  <c r="E210" i="11"/>
  <c r="E206" i="11"/>
  <c r="D213" i="11"/>
  <c r="D211" i="11"/>
  <c r="C213" i="11"/>
  <c r="H213" i="11" s="1"/>
  <c r="C211" i="11"/>
  <c r="H211" i="11" s="1"/>
  <c r="G209" i="11"/>
  <c r="K209" i="11" s="1"/>
  <c r="G216" i="11"/>
  <c r="F209" i="11"/>
  <c r="E216" i="11"/>
  <c r="E209" i="11"/>
  <c r="D216" i="11"/>
  <c r="D209" i="11"/>
  <c r="D207" i="11"/>
  <c r="C216" i="11"/>
  <c r="H216" i="11" s="1"/>
  <c r="G214" i="11"/>
  <c r="K214" i="11" s="1"/>
  <c r="G212" i="11"/>
  <c r="K212" i="11" s="1"/>
  <c r="C209" i="11"/>
  <c r="H209" i="11" s="1"/>
  <c r="C207" i="11"/>
  <c r="H207" i="11" s="1"/>
  <c r="F214" i="11"/>
  <c r="F212" i="11"/>
  <c r="D214" i="11"/>
  <c r="E212" i="11"/>
  <c r="D212" i="11"/>
  <c r="C212" i="11"/>
  <c r="H212" i="11" s="1"/>
  <c r="G210" i="11"/>
  <c r="K210" i="11" s="1"/>
  <c r="G208" i="11"/>
  <c r="K208" i="11" s="1"/>
  <c r="G217" i="11"/>
  <c r="K217" i="11" s="1"/>
  <c r="F210" i="11"/>
  <c r="F208" i="11"/>
  <c r="F217" i="11"/>
  <c r="D210" i="11"/>
  <c r="E208" i="11"/>
  <c r="E217" i="11"/>
  <c r="D215" i="11"/>
  <c r="D208" i="11"/>
  <c r="D217" i="11"/>
  <c r="C215" i="11"/>
  <c r="H215" i="11" s="1"/>
  <c r="G213" i="11"/>
  <c r="C208" i="11"/>
  <c r="H208" i="11" s="1"/>
  <c r="G206" i="11"/>
  <c r="C217" i="11"/>
  <c r="H217" i="11" s="1"/>
  <c r="F213" i="11"/>
  <c r="F206" i="11"/>
  <c r="E213" i="11"/>
  <c r="D206" i="11"/>
  <c r="AS27" i="3"/>
  <c r="C625" i="11"/>
  <c r="H625" i="11" s="1"/>
  <c r="G622" i="11"/>
  <c r="K622" i="11" s="1"/>
  <c r="C621" i="11"/>
  <c r="H621" i="11" s="1"/>
  <c r="G618" i="11"/>
  <c r="K618" i="11" s="1"/>
  <c r="F622" i="11"/>
  <c r="F618" i="11"/>
  <c r="G623" i="11"/>
  <c r="K623" i="11" s="1"/>
  <c r="G620" i="11"/>
  <c r="G617" i="11"/>
  <c r="K617" i="11" s="1"/>
  <c r="F623" i="11"/>
  <c r="F620" i="11"/>
  <c r="F617" i="11"/>
  <c r="D619" i="11"/>
  <c r="E614" i="11"/>
  <c r="G624" i="11"/>
  <c r="K624" i="11" s="1"/>
  <c r="C619" i="11"/>
  <c r="H619" i="11" s="1"/>
  <c r="E617" i="11"/>
  <c r="D614" i="11"/>
  <c r="F624" i="11"/>
  <c r="D617" i="11"/>
  <c r="C614" i="11"/>
  <c r="H614" i="11" s="1"/>
  <c r="E624" i="11"/>
  <c r="E622" i="11"/>
  <c r="C617" i="11"/>
  <c r="H617" i="11" s="1"/>
  <c r="D624" i="11"/>
  <c r="D622" i="11"/>
  <c r="G615" i="11"/>
  <c r="K615" i="11" s="1"/>
  <c r="C624" i="11"/>
  <c r="H624" i="11" s="1"/>
  <c r="C622" i="11"/>
  <c r="H622" i="11" s="1"/>
  <c r="E620" i="11"/>
  <c r="F615" i="11"/>
  <c r="D620" i="11"/>
  <c r="E615" i="11"/>
  <c r="C620" i="11"/>
  <c r="H620" i="11" s="1"/>
  <c r="E618" i="11"/>
  <c r="D615" i="11"/>
  <c r="D618" i="11"/>
  <c r="C615" i="11"/>
  <c r="H615" i="11" s="1"/>
  <c r="G625" i="11"/>
  <c r="K625" i="11" s="1"/>
  <c r="C618" i="11"/>
  <c r="H618" i="11" s="1"/>
  <c r="F625" i="11"/>
  <c r="E623" i="11"/>
  <c r="G616" i="11"/>
  <c r="K616" i="11" s="1"/>
  <c r="E625" i="11"/>
  <c r="D623" i="11"/>
  <c r="G621" i="11"/>
  <c r="K621" i="11" s="1"/>
  <c r="F616" i="11"/>
  <c r="D625" i="11"/>
  <c r="C623" i="11"/>
  <c r="H623" i="11" s="1"/>
  <c r="F621" i="11"/>
  <c r="E616" i="11"/>
  <c r="E621" i="11"/>
  <c r="G619" i="11"/>
  <c r="K619" i="11" s="1"/>
  <c r="D616" i="11"/>
  <c r="D621" i="11"/>
  <c r="F619" i="11"/>
  <c r="C616" i="11"/>
  <c r="H616" i="11" s="1"/>
  <c r="G614" i="11"/>
  <c r="K614" i="11" s="1"/>
  <c r="E619" i="11"/>
  <c r="F614" i="11"/>
  <c r="BQ55" i="3"/>
  <c r="T55" i="3" s="1"/>
  <c r="BP55" i="3"/>
  <c r="X55" i="3" s="1"/>
  <c r="BO55" i="3"/>
  <c r="W55" i="3" s="1"/>
  <c r="BM55" i="3"/>
  <c r="I55" i="3" s="1"/>
  <c r="BL55" i="3"/>
  <c r="BN55" i="3"/>
  <c r="V55" i="3" s="1"/>
  <c r="Y55" i="3" s="1"/>
  <c r="Z55" i="3" s="1"/>
  <c r="D829" i="11"/>
  <c r="D825" i="11"/>
  <c r="C829" i="11"/>
  <c r="H829" i="11" s="1"/>
  <c r="G826" i="11"/>
  <c r="K826" i="11" s="1"/>
  <c r="C825" i="11"/>
  <c r="H825" i="11" s="1"/>
  <c r="G822" i="11"/>
  <c r="E829" i="11"/>
  <c r="C826" i="11"/>
  <c r="H826" i="11" s="1"/>
  <c r="C823" i="11"/>
  <c r="H823" i="11" s="1"/>
  <c r="E820" i="11"/>
  <c r="D820" i="11"/>
  <c r="G827" i="11"/>
  <c r="K827" i="11" s="1"/>
  <c r="D828" i="11"/>
  <c r="E826" i="11"/>
  <c r="G824" i="11"/>
  <c r="K824" i="11" s="1"/>
  <c r="C821" i="11"/>
  <c r="H821" i="11" s="1"/>
  <c r="C818" i="11"/>
  <c r="H818" i="11" s="1"/>
  <c r="C828" i="11"/>
  <c r="H828" i="11" s="1"/>
  <c r="D826" i="11"/>
  <c r="F824" i="11"/>
  <c r="E824" i="11"/>
  <c r="G819" i="11"/>
  <c r="D824" i="11"/>
  <c r="F822" i="11"/>
  <c r="F819" i="11"/>
  <c r="C824" i="11"/>
  <c r="H824" i="11" s="1"/>
  <c r="E822" i="11"/>
  <c r="E819" i="11"/>
  <c r="F827" i="11"/>
  <c r="D822" i="11"/>
  <c r="D819" i="11"/>
  <c r="G829" i="11"/>
  <c r="K829" i="11" s="1"/>
  <c r="E827" i="11"/>
  <c r="C822" i="11"/>
  <c r="H822" i="11" s="1"/>
  <c r="C819" i="11"/>
  <c r="H819" i="11" s="1"/>
  <c r="F829" i="11"/>
  <c r="D827" i="11"/>
  <c r="C827" i="11"/>
  <c r="H827" i="11" s="1"/>
  <c r="G825" i="11"/>
  <c r="K825" i="11" s="1"/>
  <c r="G820" i="11"/>
  <c r="K820" i="11" s="1"/>
  <c r="F825" i="11"/>
  <c r="F820" i="11"/>
  <c r="E825" i="11"/>
  <c r="G823" i="11"/>
  <c r="K823" i="11" s="1"/>
  <c r="C820" i="11"/>
  <c r="H820" i="11" s="1"/>
  <c r="F823" i="11"/>
  <c r="E823" i="11"/>
  <c r="G821" i="11"/>
  <c r="K821" i="11" s="1"/>
  <c r="G818" i="11"/>
  <c r="K818" i="11" s="1"/>
  <c r="G828" i="11"/>
  <c r="K828" i="11" s="1"/>
  <c r="D823" i="11"/>
  <c r="F821" i="11"/>
  <c r="F818" i="11"/>
  <c r="F828" i="11"/>
  <c r="E821" i="11"/>
  <c r="E818" i="11"/>
  <c r="E828" i="11"/>
  <c r="F826" i="11"/>
  <c r="D821" i="11"/>
  <c r="D818" i="11"/>
  <c r="AA12" i="3"/>
  <c r="AX12" i="3" s="1"/>
  <c r="E300" i="11"/>
  <c r="E296" i="11"/>
  <c r="E292" i="11"/>
  <c r="D300" i="11"/>
  <c r="D296" i="11"/>
  <c r="D292" i="11"/>
  <c r="G301" i="11"/>
  <c r="K301" i="11" s="1"/>
  <c r="C300" i="11"/>
  <c r="H300" i="11" s="1"/>
  <c r="G297" i="11"/>
  <c r="K297" i="11" s="1"/>
  <c r="C296" i="11"/>
  <c r="H296" i="11" s="1"/>
  <c r="G293" i="11"/>
  <c r="K293" i="11" s="1"/>
  <c r="C292" i="11"/>
  <c r="H292" i="11" s="1"/>
  <c r="G300" i="11"/>
  <c r="K300" i="11" s="1"/>
  <c r="C299" i="11"/>
  <c r="H299" i="11" s="1"/>
  <c r="G296" i="11"/>
  <c r="K296" i="11" s="1"/>
  <c r="C295" i="11"/>
  <c r="H295" i="11" s="1"/>
  <c r="G292" i="11"/>
  <c r="K292" i="11" s="1"/>
  <c r="C291" i="11"/>
  <c r="H291" i="11" s="1"/>
  <c r="F301" i="11"/>
  <c r="F294" i="11"/>
  <c r="E301" i="11"/>
  <c r="E294" i="11"/>
  <c r="D301" i="11"/>
  <c r="D294" i="11"/>
  <c r="C301" i="11"/>
  <c r="H301" i="11" s="1"/>
  <c r="G299" i="11"/>
  <c r="K299" i="11" s="1"/>
  <c r="C294" i="11"/>
  <c r="H294" i="11" s="1"/>
  <c r="F292" i="11"/>
  <c r="G290" i="11"/>
  <c r="K290" i="11" s="1"/>
  <c r="F299" i="11"/>
  <c r="F297" i="11"/>
  <c r="F290" i="11"/>
  <c r="E299" i="11"/>
  <c r="E297" i="11"/>
  <c r="E290" i="11"/>
  <c r="D299" i="11"/>
  <c r="D297" i="11"/>
  <c r="D290" i="11"/>
  <c r="C297" i="11"/>
  <c r="H297" i="11" s="1"/>
  <c r="G295" i="11"/>
  <c r="K295" i="11" s="1"/>
  <c r="C290" i="11"/>
  <c r="H290" i="11" s="1"/>
  <c r="F295" i="11"/>
  <c r="F293" i="11"/>
  <c r="E295" i="11"/>
  <c r="E293" i="11"/>
  <c r="D295" i="11"/>
  <c r="D293" i="11"/>
  <c r="F300" i="11"/>
  <c r="G298" i="11"/>
  <c r="K298" i="11" s="1"/>
  <c r="C293" i="11"/>
  <c r="H293" i="11" s="1"/>
  <c r="G291" i="11"/>
  <c r="K291" i="11" s="1"/>
  <c r="F298" i="11"/>
  <c r="F291" i="11"/>
  <c r="E298" i="11"/>
  <c r="E291" i="11"/>
  <c r="D298" i="11"/>
  <c r="D291" i="11"/>
  <c r="C298" i="11"/>
  <c r="H298" i="11" s="1"/>
  <c r="F296" i="11"/>
  <c r="G294" i="11"/>
  <c r="K294" i="11" s="1"/>
  <c r="G50" i="3"/>
  <c r="BC50" i="3"/>
  <c r="D913" i="11"/>
  <c r="D909" i="11"/>
  <c r="D905" i="11"/>
  <c r="C913" i="11"/>
  <c r="H913" i="11" s="1"/>
  <c r="G910" i="11"/>
  <c r="K910" i="11" s="1"/>
  <c r="C909" i="11"/>
  <c r="H909" i="11" s="1"/>
  <c r="G906" i="11"/>
  <c r="K906" i="11" s="1"/>
  <c r="C905" i="11"/>
  <c r="H905" i="11" s="1"/>
  <c r="G902" i="11"/>
  <c r="K902" i="11" s="1"/>
  <c r="F913" i="11"/>
  <c r="F909" i="11"/>
  <c r="F905" i="11"/>
  <c r="E913" i="11"/>
  <c r="E909" i="11"/>
  <c r="E905" i="11"/>
  <c r="D908" i="11"/>
  <c r="D906" i="11"/>
  <c r="G913" i="11"/>
  <c r="K913" i="11" s="1"/>
  <c r="G911" i="11"/>
  <c r="C908" i="11"/>
  <c r="H908" i="11" s="1"/>
  <c r="C906" i="11"/>
  <c r="H906" i="11" s="1"/>
  <c r="G904" i="11"/>
  <c r="K904" i="11" s="1"/>
  <c r="F911" i="11"/>
  <c r="F904" i="11"/>
  <c r="E911" i="11"/>
  <c r="E904" i="11"/>
  <c r="F902" i="11"/>
  <c r="D911" i="11"/>
  <c r="D904" i="11"/>
  <c r="E902" i="11"/>
  <c r="C911" i="11"/>
  <c r="H911" i="11" s="1"/>
  <c r="G909" i="11"/>
  <c r="G907" i="11"/>
  <c r="C904" i="11"/>
  <c r="H904" i="11" s="1"/>
  <c r="D902" i="11"/>
  <c r="F907" i="11"/>
  <c r="C902" i="11"/>
  <c r="H902" i="11" s="1"/>
  <c r="E907" i="11"/>
  <c r="D907" i="11"/>
  <c r="G912" i="11"/>
  <c r="K912" i="11" s="1"/>
  <c r="C907" i="11"/>
  <c r="H907" i="11" s="1"/>
  <c r="G905" i="11"/>
  <c r="K905" i="11" s="1"/>
  <c r="G903" i="11"/>
  <c r="K903" i="11" s="1"/>
  <c r="F912" i="11"/>
  <c r="F910" i="11"/>
  <c r="F903" i="11"/>
  <c r="E912" i="11"/>
  <c r="E910" i="11"/>
  <c r="E903" i="11"/>
  <c r="D912" i="11"/>
  <c r="D910" i="11"/>
  <c r="D903" i="11"/>
  <c r="C912" i="11"/>
  <c r="H912" i="11" s="1"/>
  <c r="C910" i="11"/>
  <c r="H910" i="11" s="1"/>
  <c r="G908" i="11"/>
  <c r="K908" i="11" s="1"/>
  <c r="C903" i="11"/>
  <c r="H903" i="11" s="1"/>
  <c r="F908" i="11"/>
  <c r="F906" i="11"/>
  <c r="E908" i="11"/>
  <c r="E906" i="11"/>
  <c r="AS98" i="3"/>
  <c r="AA98" i="3"/>
  <c r="AX98" i="3" s="1"/>
  <c r="C397" i="11"/>
  <c r="H397" i="11" s="1"/>
  <c r="G394" i="11"/>
  <c r="C393" i="11"/>
  <c r="H393" i="11" s="1"/>
  <c r="G390" i="11"/>
  <c r="K390" i="11" s="1"/>
  <c r="C389" i="11"/>
  <c r="H389" i="11" s="1"/>
  <c r="G386" i="11"/>
  <c r="K386" i="11" s="1"/>
  <c r="F394" i="11"/>
  <c r="F390" i="11"/>
  <c r="F386" i="11"/>
  <c r="E394" i="11"/>
  <c r="E390" i="11"/>
  <c r="E386" i="11"/>
  <c r="E397" i="11"/>
  <c r="E393" i="11"/>
  <c r="E389" i="11"/>
  <c r="F397" i="11"/>
  <c r="F395" i="11"/>
  <c r="F388" i="11"/>
  <c r="D397" i="11"/>
  <c r="E395" i="11"/>
  <c r="E388" i="11"/>
  <c r="D395" i="11"/>
  <c r="D388" i="11"/>
  <c r="D386" i="11"/>
  <c r="C395" i="11"/>
  <c r="H395" i="11" s="1"/>
  <c r="G393" i="11"/>
  <c r="K393" i="11" s="1"/>
  <c r="G391" i="11"/>
  <c r="K391" i="11" s="1"/>
  <c r="C388" i="11"/>
  <c r="H388" i="11" s="1"/>
  <c r="C386" i="11"/>
  <c r="H386" i="11" s="1"/>
  <c r="F393" i="11"/>
  <c r="F391" i="11"/>
  <c r="D393" i="11"/>
  <c r="E391" i="11"/>
  <c r="D391" i="11"/>
  <c r="G396" i="11"/>
  <c r="K396" i="11" s="1"/>
  <c r="C391" i="11"/>
  <c r="H391" i="11" s="1"/>
  <c r="G389" i="11"/>
  <c r="K389" i="11" s="1"/>
  <c r="G387" i="11"/>
  <c r="K387" i="11" s="1"/>
  <c r="F396" i="11"/>
  <c r="F389" i="11"/>
  <c r="F387" i="11"/>
  <c r="E396" i="11"/>
  <c r="D389" i="11"/>
  <c r="E387" i="11"/>
  <c r="D396" i="11"/>
  <c r="D394" i="11"/>
  <c r="D387" i="11"/>
  <c r="C396" i="11"/>
  <c r="H396" i="11" s="1"/>
  <c r="C394" i="11"/>
  <c r="H394" i="11" s="1"/>
  <c r="G392" i="11"/>
  <c r="C387" i="11"/>
  <c r="H387" i="11" s="1"/>
  <c r="F392" i="11"/>
  <c r="D392" i="11"/>
  <c r="D390" i="11"/>
  <c r="G397" i="11"/>
  <c r="K397" i="11" s="1"/>
  <c r="G395" i="11"/>
  <c r="K395" i="11" s="1"/>
  <c r="E392" i="11"/>
  <c r="C392" i="11"/>
  <c r="H392" i="11" s="1"/>
  <c r="C390" i="11"/>
  <c r="H390" i="11" s="1"/>
  <c r="G388" i="11"/>
  <c r="K388" i="11" s="1"/>
  <c r="AS50" i="3"/>
  <c r="AA50" i="3"/>
  <c r="AX50" i="3" s="1"/>
  <c r="E1019" i="11"/>
  <c r="E1015" i="11"/>
  <c r="E1011" i="11"/>
  <c r="D1019" i="11"/>
  <c r="D1015" i="11"/>
  <c r="D1011" i="11"/>
  <c r="G1019" i="11"/>
  <c r="K1019" i="11" s="1"/>
  <c r="C1018" i="11"/>
  <c r="H1018" i="11" s="1"/>
  <c r="G1015" i="11"/>
  <c r="K1015" i="11" s="1"/>
  <c r="C1014" i="11"/>
  <c r="H1014" i="11" s="1"/>
  <c r="G1011" i="11"/>
  <c r="K1011" i="11" s="1"/>
  <c r="C1010" i="11"/>
  <c r="H1010" i="11" s="1"/>
  <c r="C1021" i="11"/>
  <c r="H1021" i="11" s="1"/>
  <c r="C1016" i="11"/>
  <c r="H1016" i="11" s="1"/>
  <c r="C1011" i="11"/>
  <c r="H1011" i="11" s="1"/>
  <c r="F1019" i="11"/>
  <c r="G1014" i="11"/>
  <c r="K1014" i="11" s="1"/>
  <c r="C1019" i="11"/>
  <c r="H1019" i="11" s="1"/>
  <c r="F1014" i="11"/>
  <c r="G1017" i="11"/>
  <c r="K1017" i="11" s="1"/>
  <c r="E1014" i="11"/>
  <c r="G1012" i="11"/>
  <c r="K1012" i="11" s="1"/>
  <c r="F1017" i="11"/>
  <c r="D1014" i="11"/>
  <c r="F1012" i="11"/>
  <c r="G1020" i="11"/>
  <c r="K1020" i="11" s="1"/>
  <c r="E1017" i="11"/>
  <c r="E1012" i="11"/>
  <c r="F1020" i="11"/>
  <c r="D1017" i="11"/>
  <c r="D1012" i="11"/>
  <c r="E1020" i="11"/>
  <c r="C1017" i="11"/>
  <c r="H1017" i="11" s="1"/>
  <c r="C1012" i="11"/>
  <c r="H1012" i="11" s="1"/>
  <c r="D1020" i="11"/>
  <c r="F1015" i="11"/>
  <c r="G1010" i="11"/>
  <c r="K1010" i="11" s="1"/>
  <c r="C1020" i="11"/>
  <c r="H1020" i="11" s="1"/>
  <c r="C1015" i="11"/>
  <c r="H1015" i="11" s="1"/>
  <c r="F1010" i="11"/>
  <c r="G1018" i="11"/>
  <c r="K1018" i="11" s="1"/>
  <c r="G1013" i="11"/>
  <c r="K1013" i="11" s="1"/>
  <c r="E1010" i="11"/>
  <c r="F1018" i="11"/>
  <c r="F1013" i="11"/>
  <c r="D1010" i="11"/>
  <c r="G1021" i="11"/>
  <c r="K1021" i="11" s="1"/>
  <c r="E1018" i="11"/>
  <c r="G1016" i="11"/>
  <c r="K1016" i="11" s="1"/>
  <c r="E1013" i="11"/>
  <c r="F1021" i="11"/>
  <c r="D1018" i="11"/>
  <c r="F1016" i="11"/>
  <c r="D1013" i="11"/>
  <c r="E1021" i="11"/>
  <c r="E1016" i="11"/>
  <c r="C1013" i="11"/>
  <c r="H1013" i="11" s="1"/>
  <c r="D1021" i="11"/>
  <c r="D1016" i="11"/>
  <c r="F1011" i="11"/>
  <c r="AT21" i="3"/>
  <c r="AV21" i="3"/>
  <c r="L288" i="11"/>
  <c r="L283" i="11"/>
  <c r="BC27" i="3"/>
  <c r="E336" i="11"/>
  <c r="E332" i="11"/>
  <c r="E328" i="11"/>
  <c r="D336" i="11"/>
  <c r="D332" i="11"/>
  <c r="D328" i="11"/>
  <c r="G337" i="11"/>
  <c r="K337" i="11" s="1"/>
  <c r="C336" i="11"/>
  <c r="H336" i="11" s="1"/>
  <c r="G333" i="11"/>
  <c r="K333" i="11" s="1"/>
  <c r="C332" i="11"/>
  <c r="H332" i="11" s="1"/>
  <c r="G329" i="11"/>
  <c r="K329" i="11" s="1"/>
  <c r="C328" i="11"/>
  <c r="H328" i="11" s="1"/>
  <c r="F337" i="11"/>
  <c r="F333" i="11"/>
  <c r="F329" i="11"/>
  <c r="E337" i="11"/>
  <c r="E333" i="11"/>
  <c r="E329" i="11"/>
  <c r="D337" i="11"/>
  <c r="D333" i="11"/>
  <c r="D329" i="11"/>
  <c r="C337" i="11"/>
  <c r="H337" i="11" s="1"/>
  <c r="G336" i="11"/>
  <c r="K336" i="11" s="1"/>
  <c r="C335" i="11"/>
  <c r="H335" i="11" s="1"/>
  <c r="G332" i="11"/>
  <c r="K332" i="11" s="1"/>
  <c r="C331" i="11"/>
  <c r="H331" i="11" s="1"/>
  <c r="G328" i="11"/>
  <c r="K328" i="11" s="1"/>
  <c r="C327" i="11"/>
  <c r="H327" i="11" s="1"/>
  <c r="D334" i="11"/>
  <c r="F327" i="11"/>
  <c r="C334" i="11"/>
  <c r="H334" i="11" s="1"/>
  <c r="C329" i="11"/>
  <c r="H329" i="11" s="1"/>
  <c r="E327" i="11"/>
  <c r="D327" i="11"/>
  <c r="G331" i="11"/>
  <c r="K331" i="11" s="1"/>
  <c r="F336" i="11"/>
  <c r="F331" i="11"/>
  <c r="E331" i="11"/>
  <c r="C333" i="11"/>
  <c r="H333" i="11" s="1"/>
  <c r="D331" i="11"/>
  <c r="G326" i="11"/>
  <c r="K326" i="11" s="1"/>
  <c r="F326" i="11"/>
  <c r="G335" i="11"/>
  <c r="K335" i="11" s="1"/>
  <c r="G330" i="11"/>
  <c r="K330" i="11" s="1"/>
  <c r="E326" i="11"/>
  <c r="F335" i="11"/>
  <c r="F330" i="11"/>
  <c r="F328" i="11"/>
  <c r="D326" i="11"/>
  <c r="E335" i="11"/>
  <c r="E330" i="11"/>
  <c r="C326" i="11"/>
  <c r="H326" i="11" s="1"/>
  <c r="D335" i="11"/>
  <c r="D330" i="11"/>
  <c r="C330" i="11"/>
  <c r="H330" i="11" s="1"/>
  <c r="G334" i="11"/>
  <c r="K334" i="11" s="1"/>
  <c r="F334" i="11"/>
  <c r="F332" i="11"/>
  <c r="G327" i="11"/>
  <c r="K327" i="11" s="1"/>
  <c r="E334" i="11"/>
  <c r="G41" i="3"/>
  <c r="AT49" i="3"/>
  <c r="F565" i="11"/>
  <c r="F561" i="11"/>
  <c r="C562" i="11"/>
  <c r="H562" i="11" s="1"/>
  <c r="F559" i="11"/>
  <c r="F555" i="11"/>
  <c r="G563" i="11"/>
  <c r="K563" i="11" s="1"/>
  <c r="E559" i="11"/>
  <c r="E555" i="11"/>
  <c r="F563" i="11"/>
  <c r="D559" i="11"/>
  <c r="D555" i="11"/>
  <c r="E563" i="11"/>
  <c r="G560" i="11"/>
  <c r="K560" i="11" s="1"/>
  <c r="C559" i="11"/>
  <c r="H559" i="11" s="1"/>
  <c r="G556" i="11"/>
  <c r="K556" i="11" s="1"/>
  <c r="C555" i="11"/>
  <c r="H555" i="11" s="1"/>
  <c r="D563" i="11"/>
  <c r="C563" i="11"/>
  <c r="H563" i="11" s="1"/>
  <c r="E560" i="11"/>
  <c r="E556" i="11"/>
  <c r="G564" i="11"/>
  <c r="K564" i="11" s="1"/>
  <c r="D560" i="11"/>
  <c r="C565" i="11"/>
  <c r="H565" i="11" s="1"/>
  <c r="E562" i="11"/>
  <c r="D558" i="11"/>
  <c r="D554" i="11"/>
  <c r="E565" i="11"/>
  <c r="G562" i="11"/>
  <c r="K562" i="11" s="1"/>
  <c r="D565" i="11"/>
  <c r="F562" i="11"/>
  <c r="G557" i="11"/>
  <c r="K557" i="11" s="1"/>
  <c r="D562" i="11"/>
  <c r="F557" i="11"/>
  <c r="G555" i="11"/>
  <c r="F564" i="11"/>
  <c r="E557" i="11"/>
  <c r="E564" i="11"/>
  <c r="G559" i="11"/>
  <c r="K559" i="11" s="1"/>
  <c r="D557" i="11"/>
  <c r="D564" i="11"/>
  <c r="G561" i="11"/>
  <c r="K561" i="11" s="1"/>
  <c r="C557" i="11"/>
  <c r="H557" i="11" s="1"/>
  <c r="C564" i="11"/>
  <c r="H564" i="11" s="1"/>
  <c r="E561" i="11"/>
  <c r="D561" i="11"/>
  <c r="C561" i="11"/>
  <c r="H561" i="11" s="1"/>
  <c r="F556" i="11"/>
  <c r="G554" i="11"/>
  <c r="K554" i="11" s="1"/>
  <c r="D556" i="11"/>
  <c r="F554" i="11"/>
  <c r="G558" i="11"/>
  <c r="K558" i="11" s="1"/>
  <c r="C556" i="11"/>
  <c r="H556" i="11" s="1"/>
  <c r="E554" i="11"/>
  <c r="F560" i="11"/>
  <c r="F558" i="11"/>
  <c r="C554" i="11"/>
  <c r="H554" i="11" s="1"/>
  <c r="C560" i="11"/>
  <c r="H560" i="11" s="1"/>
  <c r="E558" i="11"/>
  <c r="C558" i="11"/>
  <c r="H558" i="11" s="1"/>
  <c r="G565" i="11"/>
  <c r="K565" i="11" s="1"/>
  <c r="AV61" i="3"/>
  <c r="AT61" i="3"/>
  <c r="BC68" i="3"/>
  <c r="BB68" i="3"/>
  <c r="G68" i="3"/>
  <c r="AT80" i="3"/>
  <c r="AS82" i="3"/>
  <c r="G83" i="3"/>
  <c r="BC83" i="3"/>
  <c r="BB83" i="3"/>
  <c r="E1007" i="11"/>
  <c r="E1003" i="11"/>
  <c r="E999" i="11"/>
  <c r="D1007" i="11"/>
  <c r="D1003" i="11"/>
  <c r="D999" i="11"/>
  <c r="G1007" i="11"/>
  <c r="K1007" i="11" s="1"/>
  <c r="C1006" i="11"/>
  <c r="H1006" i="11" s="1"/>
  <c r="G1003" i="11"/>
  <c r="K1003" i="11" s="1"/>
  <c r="C1002" i="11"/>
  <c r="H1002" i="11" s="1"/>
  <c r="F1006" i="11"/>
  <c r="F1001" i="11"/>
  <c r="F998" i="11"/>
  <c r="G1009" i="11"/>
  <c r="K1009" i="11" s="1"/>
  <c r="E1006" i="11"/>
  <c r="G1004" i="11"/>
  <c r="K1004" i="11" s="1"/>
  <c r="E1001" i="11"/>
  <c r="E998" i="11"/>
  <c r="F1009" i="11"/>
  <c r="D1006" i="11"/>
  <c r="F1004" i="11"/>
  <c r="D1001" i="11"/>
  <c r="D998" i="11"/>
  <c r="E1009" i="11"/>
  <c r="E1004" i="11"/>
  <c r="C1001" i="11"/>
  <c r="H1001" i="11" s="1"/>
  <c r="C998" i="11"/>
  <c r="H998" i="11" s="1"/>
  <c r="D1009" i="11"/>
  <c r="D1004" i="11"/>
  <c r="C1009" i="11"/>
  <c r="H1009" i="11" s="1"/>
  <c r="C1004" i="11"/>
  <c r="H1004" i="11" s="1"/>
  <c r="G999" i="11"/>
  <c r="F1007" i="11"/>
  <c r="G1002" i="11"/>
  <c r="K1002" i="11" s="1"/>
  <c r="F999" i="11"/>
  <c r="C1007" i="11"/>
  <c r="H1007" i="11" s="1"/>
  <c r="F1002" i="11"/>
  <c r="C999" i="11"/>
  <c r="H999" i="11" s="1"/>
  <c r="G1005" i="11"/>
  <c r="K1005" i="11" s="1"/>
  <c r="E1002" i="11"/>
  <c r="F1005" i="11"/>
  <c r="D1002" i="11"/>
  <c r="G1000" i="11"/>
  <c r="G1008" i="11"/>
  <c r="E1005" i="11"/>
  <c r="F1000" i="11"/>
  <c r="F1008" i="11"/>
  <c r="D1005" i="11"/>
  <c r="E1000" i="11"/>
  <c r="E1008" i="11"/>
  <c r="C1005" i="11"/>
  <c r="H1005" i="11" s="1"/>
  <c r="D1000" i="11"/>
  <c r="D1008" i="11"/>
  <c r="F1003" i="11"/>
  <c r="C1000" i="11"/>
  <c r="H1000" i="11" s="1"/>
  <c r="C1008" i="11"/>
  <c r="H1008" i="11" s="1"/>
  <c r="C1003" i="11"/>
  <c r="H1003" i="11" s="1"/>
  <c r="G1006" i="11"/>
  <c r="K1006" i="11" s="1"/>
  <c r="G1001" i="11"/>
  <c r="G998" i="11"/>
  <c r="K998" i="11" s="1"/>
  <c r="BQ87" i="3"/>
  <c r="T87" i="3" s="1"/>
  <c r="BP87" i="3"/>
  <c r="X87" i="3" s="1"/>
  <c r="BO87" i="3"/>
  <c r="W87" i="3" s="1"/>
  <c r="BN87" i="3"/>
  <c r="V87" i="3" s="1"/>
  <c r="Y87" i="3" s="1"/>
  <c r="Z87" i="3" s="1"/>
  <c r="BM87" i="3"/>
  <c r="I87" i="3" s="1"/>
  <c r="BL87" i="3"/>
  <c r="AA68" i="3"/>
  <c r="AX68" i="3" s="1"/>
  <c r="AS68" i="3"/>
  <c r="BC75" i="3"/>
  <c r="BB75" i="3"/>
  <c r="G75" i="3"/>
  <c r="D889" i="11"/>
  <c r="D885" i="11"/>
  <c r="D881" i="11"/>
  <c r="C889" i="11"/>
  <c r="H889" i="11" s="1"/>
  <c r="G886" i="11"/>
  <c r="C885" i="11"/>
  <c r="H885" i="11" s="1"/>
  <c r="G882" i="11"/>
  <c r="K882" i="11" s="1"/>
  <c r="C881" i="11"/>
  <c r="H881" i="11" s="1"/>
  <c r="G878" i="11"/>
  <c r="K878" i="11" s="1"/>
  <c r="C887" i="11"/>
  <c r="H887" i="11" s="1"/>
  <c r="C884" i="11"/>
  <c r="H884" i="11" s="1"/>
  <c r="G879" i="11"/>
  <c r="K879" i="11" s="1"/>
  <c r="F882" i="11"/>
  <c r="F879" i="11"/>
  <c r="G888" i="11"/>
  <c r="K888" i="11" s="1"/>
  <c r="G885" i="11"/>
  <c r="K885" i="11" s="1"/>
  <c r="E882" i="11"/>
  <c r="E879" i="11"/>
  <c r="F888" i="11"/>
  <c r="F885" i="11"/>
  <c r="D882" i="11"/>
  <c r="D879" i="11"/>
  <c r="E888" i="11"/>
  <c r="E885" i="11"/>
  <c r="C882" i="11"/>
  <c r="H882" i="11" s="1"/>
  <c r="C879" i="11"/>
  <c r="H879" i="11" s="1"/>
  <c r="D888" i="11"/>
  <c r="C888" i="11"/>
  <c r="H888" i="11" s="1"/>
  <c r="G883" i="11"/>
  <c r="K883" i="11" s="1"/>
  <c r="G880" i="11"/>
  <c r="K880" i="11" s="1"/>
  <c r="F886" i="11"/>
  <c r="F883" i="11"/>
  <c r="F880" i="11"/>
  <c r="G889" i="11"/>
  <c r="K889" i="11" s="1"/>
  <c r="E886" i="11"/>
  <c r="E883" i="11"/>
  <c r="E880" i="11"/>
  <c r="F889" i="11"/>
  <c r="D886" i="11"/>
  <c r="D883" i="11"/>
  <c r="D880" i="11"/>
  <c r="E889" i="11"/>
  <c r="C886" i="11"/>
  <c r="H886" i="11" s="1"/>
  <c r="C883" i="11"/>
  <c r="H883" i="11" s="1"/>
  <c r="C880" i="11"/>
  <c r="H880" i="11" s="1"/>
  <c r="F887" i="11"/>
  <c r="F884" i="11"/>
  <c r="F881" i="11"/>
  <c r="D878" i="11"/>
  <c r="E887" i="11"/>
  <c r="E884" i="11"/>
  <c r="E881" i="11"/>
  <c r="C878" i="11"/>
  <c r="H878" i="11" s="1"/>
  <c r="D887" i="11"/>
  <c r="D884" i="11"/>
  <c r="G884" i="11"/>
  <c r="G881" i="11"/>
  <c r="F878" i="11"/>
  <c r="E878" i="11"/>
  <c r="G887" i="11"/>
  <c r="K887" i="11" s="1"/>
  <c r="AA79" i="3"/>
  <c r="AX79" i="3" s="1"/>
  <c r="AS79" i="3"/>
  <c r="BK89" i="3"/>
  <c r="BP89" i="3" s="1"/>
  <c r="X89" i="3" s="1"/>
  <c r="AM89" i="3"/>
  <c r="E1055" i="11"/>
  <c r="E1051" i="11"/>
  <c r="D1055" i="11"/>
  <c r="D1051" i="11"/>
  <c r="G1057" i="11"/>
  <c r="K1057" i="11" s="1"/>
  <c r="G1054" i="11"/>
  <c r="G1051" i="11"/>
  <c r="E1047" i="11"/>
  <c r="F1057" i="11"/>
  <c r="F1054" i="11"/>
  <c r="F1051" i="11"/>
  <c r="D1047" i="11"/>
  <c r="E1057" i="11"/>
  <c r="E1054" i="11"/>
  <c r="C1051" i="11"/>
  <c r="H1051" i="11" s="1"/>
  <c r="G1048" i="11"/>
  <c r="K1048" i="11" s="1"/>
  <c r="C1047" i="11"/>
  <c r="H1047" i="11" s="1"/>
  <c r="D1057" i="11"/>
  <c r="D1054" i="11"/>
  <c r="F1048" i="11"/>
  <c r="F1052" i="11"/>
  <c r="G1055" i="11"/>
  <c r="K1055" i="11" s="1"/>
  <c r="C1056" i="11"/>
  <c r="H1056" i="11" s="1"/>
  <c r="C1053" i="11"/>
  <c r="H1053" i="11" s="1"/>
  <c r="C1050" i="11"/>
  <c r="H1050" i="11" s="1"/>
  <c r="G1047" i="11"/>
  <c r="K1047" i="11" s="1"/>
  <c r="C1046" i="11"/>
  <c r="H1046" i="11" s="1"/>
  <c r="F1047" i="11"/>
  <c r="D1056" i="11"/>
  <c r="D1053" i="11"/>
  <c r="G1050" i="11"/>
  <c r="K1050" i="11" s="1"/>
  <c r="C1048" i="11"/>
  <c r="H1048" i="11" s="1"/>
  <c r="E1046" i="11"/>
  <c r="G1052" i="11"/>
  <c r="K1052" i="11" s="1"/>
  <c r="F1050" i="11"/>
  <c r="D1046" i="11"/>
  <c r="F1055" i="11"/>
  <c r="E1052" i="11"/>
  <c r="E1050" i="11"/>
  <c r="C1055" i="11"/>
  <c r="H1055" i="11" s="1"/>
  <c r="D1052" i="11"/>
  <c r="D1050" i="11"/>
  <c r="C1052" i="11"/>
  <c r="H1052" i="11" s="1"/>
  <c r="G1049" i="11"/>
  <c r="K1049" i="11" s="1"/>
  <c r="F1049" i="11"/>
  <c r="E1049" i="11"/>
  <c r="C1057" i="11"/>
  <c r="H1057" i="11" s="1"/>
  <c r="C1054" i="11"/>
  <c r="H1054" i="11" s="1"/>
  <c r="D1049" i="11"/>
  <c r="C1049" i="11"/>
  <c r="H1049" i="11" s="1"/>
  <c r="G1056" i="11"/>
  <c r="K1056" i="11" s="1"/>
  <c r="G1053" i="11"/>
  <c r="K1053" i="11" s="1"/>
  <c r="F1056" i="11"/>
  <c r="F1053" i="11"/>
  <c r="E1048" i="11"/>
  <c r="G1046" i="11"/>
  <c r="E1056" i="11"/>
  <c r="E1053" i="11"/>
  <c r="D1048" i="11"/>
  <c r="F1046" i="11"/>
  <c r="BC40" i="3"/>
  <c r="BB40" i="3"/>
  <c r="F601" i="11"/>
  <c r="F597" i="11"/>
  <c r="F593" i="11"/>
  <c r="E601" i="11"/>
  <c r="E597" i="11"/>
  <c r="E593" i="11"/>
  <c r="C599" i="11"/>
  <c r="H599" i="11" s="1"/>
  <c r="C596" i="11"/>
  <c r="H596" i="11" s="1"/>
  <c r="G594" i="11"/>
  <c r="K594" i="11" s="1"/>
  <c r="G591" i="11"/>
  <c r="K591" i="11" s="1"/>
  <c r="F594" i="11"/>
  <c r="F591" i="11"/>
  <c r="G600" i="11"/>
  <c r="K600" i="11" s="1"/>
  <c r="G597" i="11"/>
  <c r="E594" i="11"/>
  <c r="E591" i="11"/>
  <c r="F600" i="11"/>
  <c r="D597" i="11"/>
  <c r="D594" i="11"/>
  <c r="D591" i="11"/>
  <c r="E600" i="11"/>
  <c r="C597" i="11"/>
  <c r="H597" i="11" s="1"/>
  <c r="C594" i="11"/>
  <c r="H594" i="11" s="1"/>
  <c r="C591" i="11"/>
  <c r="H591" i="11" s="1"/>
  <c r="D600" i="11"/>
  <c r="C600" i="11"/>
  <c r="H600" i="11" s="1"/>
  <c r="G598" i="11"/>
  <c r="K598" i="11" s="1"/>
  <c r="G595" i="11"/>
  <c r="K595" i="11" s="1"/>
  <c r="G592" i="11"/>
  <c r="K592" i="11" s="1"/>
  <c r="F598" i="11"/>
  <c r="F595" i="11"/>
  <c r="F592" i="11"/>
  <c r="G601" i="11"/>
  <c r="K601" i="11" s="1"/>
  <c r="E598" i="11"/>
  <c r="E595" i="11"/>
  <c r="E592" i="11"/>
  <c r="D601" i="11"/>
  <c r="D598" i="11"/>
  <c r="D595" i="11"/>
  <c r="D592" i="11"/>
  <c r="C601" i="11"/>
  <c r="H601" i="11" s="1"/>
  <c r="C598" i="11"/>
  <c r="H598" i="11" s="1"/>
  <c r="C595" i="11"/>
  <c r="H595" i="11" s="1"/>
  <c r="C592" i="11"/>
  <c r="H592" i="11" s="1"/>
  <c r="G590" i="11"/>
  <c r="K590" i="11" s="1"/>
  <c r="F599" i="11"/>
  <c r="F596" i="11"/>
  <c r="D593" i="11"/>
  <c r="D590" i="11"/>
  <c r="E599" i="11"/>
  <c r="E596" i="11"/>
  <c r="C593" i="11"/>
  <c r="H593" i="11" s="1"/>
  <c r="C590" i="11"/>
  <c r="H590" i="11" s="1"/>
  <c r="G593" i="11"/>
  <c r="K593" i="11" s="1"/>
  <c r="G599" i="11"/>
  <c r="K599" i="11" s="1"/>
  <c r="D599" i="11"/>
  <c r="F590" i="11"/>
  <c r="E590" i="11"/>
  <c r="G596" i="11"/>
  <c r="K596" i="11" s="1"/>
  <c r="D596" i="11"/>
  <c r="AT55" i="3"/>
  <c r="BB23" i="3"/>
  <c r="C409" i="11"/>
  <c r="H409" i="11" s="1"/>
  <c r="G406" i="11"/>
  <c r="K406" i="11" s="1"/>
  <c r="C405" i="11"/>
  <c r="H405" i="11" s="1"/>
  <c r="G402" i="11"/>
  <c r="K402" i="11" s="1"/>
  <c r="C401" i="11"/>
  <c r="H401" i="11" s="1"/>
  <c r="G398" i="11"/>
  <c r="K398" i="11" s="1"/>
  <c r="F406" i="11"/>
  <c r="F402" i="11"/>
  <c r="F398" i="11"/>
  <c r="E406" i="11"/>
  <c r="E402" i="11"/>
  <c r="E398" i="11"/>
  <c r="E409" i="11"/>
  <c r="E405" i="11"/>
  <c r="E401" i="11"/>
  <c r="F404" i="11"/>
  <c r="E404" i="11"/>
  <c r="D404" i="11"/>
  <c r="D402" i="11"/>
  <c r="G409" i="11"/>
  <c r="K409" i="11" s="1"/>
  <c r="G407" i="11"/>
  <c r="K407" i="11" s="1"/>
  <c r="C404" i="11"/>
  <c r="H404" i="11" s="1"/>
  <c r="C402" i="11"/>
  <c r="H402" i="11" s="1"/>
  <c r="G400" i="11"/>
  <c r="F409" i="11"/>
  <c r="F407" i="11"/>
  <c r="F400" i="11"/>
  <c r="D409" i="11"/>
  <c r="E407" i="11"/>
  <c r="E400" i="11"/>
  <c r="D407" i="11"/>
  <c r="D400" i="11"/>
  <c r="D398" i="11"/>
  <c r="C407" i="11"/>
  <c r="H407" i="11" s="1"/>
  <c r="G405" i="11"/>
  <c r="K405" i="11" s="1"/>
  <c r="G403" i="11"/>
  <c r="C400" i="11"/>
  <c r="H400" i="11" s="1"/>
  <c r="C398" i="11"/>
  <c r="H398" i="11" s="1"/>
  <c r="F405" i="11"/>
  <c r="F403" i="11"/>
  <c r="D405" i="11"/>
  <c r="E403" i="11"/>
  <c r="D403" i="11"/>
  <c r="G408" i="11"/>
  <c r="K408" i="11" s="1"/>
  <c r="C403" i="11"/>
  <c r="H403" i="11" s="1"/>
  <c r="G401" i="11"/>
  <c r="K401" i="11" s="1"/>
  <c r="G399" i="11"/>
  <c r="K399" i="11" s="1"/>
  <c r="F408" i="11"/>
  <c r="F401" i="11"/>
  <c r="F399" i="11"/>
  <c r="D408" i="11"/>
  <c r="D406" i="11"/>
  <c r="D399" i="11"/>
  <c r="E408" i="11"/>
  <c r="C408" i="11"/>
  <c r="H408" i="11" s="1"/>
  <c r="C406" i="11"/>
  <c r="H406" i="11" s="1"/>
  <c r="G404" i="11"/>
  <c r="K404" i="11" s="1"/>
  <c r="D401" i="11"/>
  <c r="E399" i="11"/>
  <c r="C399" i="11"/>
  <c r="H399" i="11" s="1"/>
  <c r="BC48" i="3"/>
  <c r="BB48" i="3"/>
  <c r="AV55" i="3"/>
  <c r="C721" i="11"/>
  <c r="H721" i="11" s="1"/>
  <c r="G718" i="11"/>
  <c r="K718" i="11" s="1"/>
  <c r="C717" i="11"/>
  <c r="H717" i="11" s="1"/>
  <c r="G714" i="11"/>
  <c r="C713" i="11"/>
  <c r="H713" i="11" s="1"/>
  <c r="G710" i="11"/>
  <c r="K710" i="11" s="1"/>
  <c r="F718" i="11"/>
  <c r="F714" i="11"/>
  <c r="F710" i="11"/>
  <c r="E721" i="11"/>
  <c r="E717" i="11"/>
  <c r="D721" i="11"/>
  <c r="D717" i="11"/>
  <c r="C720" i="11"/>
  <c r="H720" i="11" s="1"/>
  <c r="C718" i="11"/>
  <c r="H718" i="11" s="1"/>
  <c r="G716" i="11"/>
  <c r="K716" i="11" s="1"/>
  <c r="G713" i="11"/>
  <c r="K713" i="11" s="1"/>
  <c r="E710" i="11"/>
  <c r="F716" i="11"/>
  <c r="F713" i="11"/>
  <c r="D710" i="11"/>
  <c r="E716" i="11"/>
  <c r="E713" i="11"/>
  <c r="C710" i="11"/>
  <c r="H710" i="11" s="1"/>
  <c r="D716" i="11"/>
  <c r="D713" i="11"/>
  <c r="G721" i="11"/>
  <c r="K721" i="11" s="1"/>
  <c r="G719" i="11"/>
  <c r="K719" i="11" s="1"/>
  <c r="C716" i="11"/>
  <c r="H716" i="11" s="1"/>
  <c r="G711" i="11"/>
  <c r="K711" i="11" s="1"/>
  <c r="F721" i="11"/>
  <c r="F719" i="11"/>
  <c r="F711" i="11"/>
  <c r="E719" i="11"/>
  <c r="E714" i="11"/>
  <c r="E711" i="11"/>
  <c r="D719" i="11"/>
  <c r="D714" i="11"/>
  <c r="D711" i="11"/>
  <c r="C719" i="11"/>
  <c r="H719" i="11" s="1"/>
  <c r="G717" i="11"/>
  <c r="C714" i="11"/>
  <c r="H714" i="11" s="1"/>
  <c r="C711" i="11"/>
  <c r="H711" i="11" s="1"/>
  <c r="F717" i="11"/>
  <c r="G715" i="11"/>
  <c r="K715" i="11" s="1"/>
  <c r="G712" i="11"/>
  <c r="K712" i="11" s="1"/>
  <c r="F715" i="11"/>
  <c r="F712" i="11"/>
  <c r="G720" i="11"/>
  <c r="K720" i="11" s="1"/>
  <c r="E715" i="11"/>
  <c r="F720" i="11"/>
  <c r="D715" i="11"/>
  <c r="D712" i="11"/>
  <c r="E720" i="11"/>
  <c r="E718" i="11"/>
  <c r="C715" i="11"/>
  <c r="H715" i="11" s="1"/>
  <c r="C712" i="11"/>
  <c r="H712" i="11" s="1"/>
  <c r="D720" i="11"/>
  <c r="D718" i="11"/>
  <c r="E712" i="11"/>
  <c r="E744" i="11"/>
  <c r="E740" i="11"/>
  <c r="E736" i="11"/>
  <c r="D744" i="11"/>
  <c r="D740" i="11"/>
  <c r="D736" i="11"/>
  <c r="G743" i="11"/>
  <c r="G740" i="11"/>
  <c r="K740" i="11" s="1"/>
  <c r="E737" i="11"/>
  <c r="G734" i="11"/>
  <c r="K734" i="11" s="1"/>
  <c r="F743" i="11"/>
  <c r="F740" i="11"/>
  <c r="D737" i="11"/>
  <c r="F734" i="11"/>
  <c r="E743" i="11"/>
  <c r="C740" i="11"/>
  <c r="H740" i="11" s="1"/>
  <c r="C737" i="11"/>
  <c r="H737" i="11" s="1"/>
  <c r="E734" i="11"/>
  <c r="F741" i="11"/>
  <c r="C745" i="11"/>
  <c r="H745" i="11" s="1"/>
  <c r="C742" i="11"/>
  <c r="H742" i="11" s="1"/>
  <c r="C739" i="11"/>
  <c r="H739" i="11" s="1"/>
  <c r="G737" i="11"/>
  <c r="K737" i="11" s="1"/>
  <c r="F737" i="11"/>
  <c r="E741" i="11"/>
  <c r="F739" i="11"/>
  <c r="D741" i="11"/>
  <c r="E739" i="11"/>
  <c r="C741" i="11"/>
  <c r="H741" i="11" s="1"/>
  <c r="D739" i="11"/>
  <c r="D743" i="11"/>
  <c r="G738" i="11"/>
  <c r="K738" i="11" s="1"/>
  <c r="D734" i="11"/>
  <c r="C743" i="11"/>
  <c r="H743" i="11" s="1"/>
  <c r="F738" i="11"/>
  <c r="G736" i="11"/>
  <c r="C734" i="11"/>
  <c r="H734" i="11" s="1"/>
  <c r="E738" i="11"/>
  <c r="F736" i="11"/>
  <c r="G745" i="11"/>
  <c r="D738" i="11"/>
  <c r="C736" i="11"/>
  <c r="H736" i="11" s="1"/>
  <c r="F745" i="11"/>
  <c r="C738" i="11"/>
  <c r="H738" i="11" s="1"/>
  <c r="E745" i="11"/>
  <c r="D745" i="11"/>
  <c r="G742" i="11"/>
  <c r="K742" i="11" s="1"/>
  <c r="G735" i="11"/>
  <c r="K735" i="11" s="1"/>
  <c r="F742" i="11"/>
  <c r="F735" i="11"/>
  <c r="G744" i="11"/>
  <c r="E742" i="11"/>
  <c r="E735" i="11"/>
  <c r="F744" i="11"/>
  <c r="D742" i="11"/>
  <c r="D735" i="11"/>
  <c r="C744" i="11"/>
  <c r="H744" i="11" s="1"/>
  <c r="C735" i="11"/>
  <c r="H735" i="11" s="1"/>
  <c r="G741" i="11"/>
  <c r="K741" i="11" s="1"/>
  <c r="G739" i="11"/>
  <c r="K739" i="11" s="1"/>
  <c r="G88" i="3"/>
  <c r="BC88" i="3"/>
  <c r="BB88" i="3"/>
  <c r="G23" i="3"/>
  <c r="AS39" i="3"/>
  <c r="AA39" i="3"/>
  <c r="AX39" i="3" s="1"/>
  <c r="AS40" i="3"/>
  <c r="BB58" i="3"/>
  <c r="C673" i="11"/>
  <c r="H673" i="11" s="1"/>
  <c r="G670" i="11"/>
  <c r="K670" i="11" s="1"/>
  <c r="C669" i="11"/>
  <c r="H669" i="11" s="1"/>
  <c r="G666" i="11"/>
  <c r="K666" i="11" s="1"/>
  <c r="C665" i="11"/>
  <c r="H665" i="11" s="1"/>
  <c r="G662" i="11"/>
  <c r="K662" i="11" s="1"/>
  <c r="F670" i="11"/>
  <c r="F666" i="11"/>
  <c r="F662" i="11"/>
  <c r="E672" i="11"/>
  <c r="E669" i="11"/>
  <c r="C666" i="11"/>
  <c r="H666" i="11" s="1"/>
  <c r="C663" i="11"/>
  <c r="H663" i="11" s="1"/>
  <c r="D672" i="11"/>
  <c r="D669" i="11"/>
  <c r="C672" i="11"/>
  <c r="H672" i="11" s="1"/>
  <c r="G667" i="11"/>
  <c r="K667" i="11" s="1"/>
  <c r="G664" i="11"/>
  <c r="K664" i="11" s="1"/>
  <c r="F667" i="11"/>
  <c r="F664" i="11"/>
  <c r="F673" i="11"/>
  <c r="D670" i="11"/>
  <c r="D667" i="11"/>
  <c r="D664" i="11"/>
  <c r="D671" i="11"/>
  <c r="D668" i="11"/>
  <c r="D665" i="11"/>
  <c r="G672" i="11"/>
  <c r="G669" i="11"/>
  <c r="E666" i="11"/>
  <c r="E663" i="11"/>
  <c r="E667" i="11"/>
  <c r="D662" i="11"/>
  <c r="C667" i="11"/>
  <c r="H667" i="11" s="1"/>
  <c r="C662" i="11"/>
  <c r="H662" i="11" s="1"/>
  <c r="E664" i="11"/>
  <c r="C664" i="11"/>
  <c r="H664" i="11" s="1"/>
  <c r="F672" i="11"/>
  <c r="F669" i="11"/>
  <c r="G671" i="11"/>
  <c r="K671" i="11" s="1"/>
  <c r="D666" i="11"/>
  <c r="G663" i="11"/>
  <c r="F671" i="11"/>
  <c r="F663" i="11"/>
  <c r="E671" i="11"/>
  <c r="G668" i="11"/>
  <c r="K668" i="11" s="1"/>
  <c r="D663" i="11"/>
  <c r="C671" i="11"/>
  <c r="H671" i="11" s="1"/>
  <c r="F668" i="11"/>
  <c r="G673" i="11"/>
  <c r="K673" i="11" s="1"/>
  <c r="E668" i="11"/>
  <c r="G665" i="11"/>
  <c r="K665" i="11" s="1"/>
  <c r="E673" i="11"/>
  <c r="C668" i="11"/>
  <c r="H668" i="11" s="1"/>
  <c r="F665" i="11"/>
  <c r="D673" i="11"/>
  <c r="E670" i="11"/>
  <c r="E665" i="11"/>
  <c r="C670" i="11"/>
  <c r="H670" i="11" s="1"/>
  <c r="E662" i="11"/>
  <c r="AV88" i="3"/>
  <c r="AT88" i="3"/>
  <c r="BC80" i="3"/>
  <c r="G80" i="3"/>
  <c r="AA21" i="3"/>
  <c r="AX21" i="3" s="1"/>
  <c r="E312" i="11"/>
  <c r="E308" i="11"/>
  <c r="E304" i="11"/>
  <c r="D312" i="11"/>
  <c r="D308" i="11"/>
  <c r="D304" i="11"/>
  <c r="G313" i="11"/>
  <c r="C312" i="11"/>
  <c r="H312" i="11" s="1"/>
  <c r="G309" i="11"/>
  <c r="K309" i="11" s="1"/>
  <c r="C308" i="11"/>
  <c r="H308" i="11" s="1"/>
  <c r="G305" i="11"/>
  <c r="K305" i="11" s="1"/>
  <c r="C304" i="11"/>
  <c r="H304" i="11" s="1"/>
  <c r="G312" i="11"/>
  <c r="K312" i="11" s="1"/>
  <c r="C311" i="11"/>
  <c r="H311" i="11" s="1"/>
  <c r="G308" i="11"/>
  <c r="K308" i="11" s="1"/>
  <c r="C307" i="11"/>
  <c r="H307" i="11" s="1"/>
  <c r="G304" i="11"/>
  <c r="K304" i="11" s="1"/>
  <c r="C303" i="11"/>
  <c r="H303" i="11" s="1"/>
  <c r="F310" i="11"/>
  <c r="F303" i="11"/>
  <c r="E310" i="11"/>
  <c r="E303" i="11"/>
  <c r="D310" i="11"/>
  <c r="D303" i="11"/>
  <c r="C310" i="11"/>
  <c r="H310" i="11" s="1"/>
  <c r="F308" i="11"/>
  <c r="G306" i="11"/>
  <c r="K306" i="11" s="1"/>
  <c r="F313" i="11"/>
  <c r="F306" i="11"/>
  <c r="E313" i="11"/>
  <c r="E306" i="11"/>
  <c r="D313" i="11"/>
  <c r="D306" i="11"/>
  <c r="C313" i="11"/>
  <c r="H313" i="11" s="1"/>
  <c r="G311" i="11"/>
  <c r="C306" i="11"/>
  <c r="H306" i="11" s="1"/>
  <c r="F304" i="11"/>
  <c r="G302" i="11"/>
  <c r="F311" i="11"/>
  <c r="F309" i="11"/>
  <c r="F302" i="11"/>
  <c r="E311" i="11"/>
  <c r="E309" i="11"/>
  <c r="E302" i="11"/>
  <c r="D311" i="11"/>
  <c r="D309" i="11"/>
  <c r="D302" i="11"/>
  <c r="C309" i="11"/>
  <c r="H309" i="11" s="1"/>
  <c r="G307" i="11"/>
  <c r="K307" i="11" s="1"/>
  <c r="C302" i="11"/>
  <c r="H302" i="11" s="1"/>
  <c r="F307" i="11"/>
  <c r="F305" i="11"/>
  <c r="E307" i="11"/>
  <c r="E305" i="11"/>
  <c r="D307" i="11"/>
  <c r="D305" i="11"/>
  <c r="F312" i="11"/>
  <c r="G310" i="11"/>
  <c r="K310" i="11" s="1"/>
  <c r="C305" i="11"/>
  <c r="H305" i="11" s="1"/>
  <c r="G303" i="11"/>
  <c r="K303" i="11" s="1"/>
  <c r="AA31" i="3"/>
  <c r="AX31" i="3" s="1"/>
  <c r="AS31" i="3"/>
  <c r="BC41" i="3"/>
  <c r="L474" i="11"/>
  <c r="BC43" i="3"/>
  <c r="BB43" i="3"/>
  <c r="G43" i="3"/>
  <c r="G51" i="3"/>
  <c r="BC51" i="3"/>
  <c r="BB51" i="3"/>
  <c r="AV74" i="3"/>
  <c r="E1067" i="11"/>
  <c r="E1063" i="11"/>
  <c r="E1059" i="11"/>
  <c r="D1067" i="11"/>
  <c r="D1063" i="11"/>
  <c r="D1059" i="11"/>
  <c r="C1068" i="11"/>
  <c r="H1068" i="11" s="1"/>
  <c r="C1065" i="11"/>
  <c r="H1065" i="11" s="1"/>
  <c r="C1062" i="11"/>
  <c r="H1062" i="11" s="1"/>
  <c r="G1060" i="11"/>
  <c r="F1060" i="11"/>
  <c r="G1069" i="11"/>
  <c r="K1069" i="11" s="1"/>
  <c r="G1066" i="11"/>
  <c r="G1063" i="11"/>
  <c r="E1060" i="11"/>
  <c r="F1069" i="11"/>
  <c r="F1066" i="11"/>
  <c r="F1063" i="11"/>
  <c r="D1060" i="11"/>
  <c r="D1069" i="11"/>
  <c r="D1066" i="11"/>
  <c r="C1069" i="11"/>
  <c r="H1069" i="11" s="1"/>
  <c r="C1066" i="11"/>
  <c r="H1066" i="11" s="1"/>
  <c r="G1064" i="11"/>
  <c r="G1061" i="11"/>
  <c r="K1061" i="11" s="1"/>
  <c r="G1058" i="11"/>
  <c r="G1067" i="11"/>
  <c r="E1068" i="11"/>
  <c r="E1065" i="11"/>
  <c r="E1062" i="11"/>
  <c r="C1059" i="11"/>
  <c r="H1059" i="11" s="1"/>
  <c r="D1068" i="11"/>
  <c r="D1065" i="11"/>
  <c r="D1062" i="11"/>
  <c r="G1068" i="11"/>
  <c r="K1068" i="11" s="1"/>
  <c r="F1065" i="11"/>
  <c r="F1062" i="11"/>
  <c r="F1059" i="11"/>
  <c r="F1068" i="11"/>
  <c r="F1064" i="11"/>
  <c r="F1061" i="11"/>
  <c r="F1058" i="11"/>
  <c r="E1064" i="11"/>
  <c r="E1061" i="11"/>
  <c r="E1058" i="11"/>
  <c r="F1067" i="11"/>
  <c r="D1064" i="11"/>
  <c r="D1061" i="11"/>
  <c r="D1058" i="11"/>
  <c r="C1067" i="11"/>
  <c r="H1067" i="11" s="1"/>
  <c r="C1064" i="11"/>
  <c r="H1064" i="11" s="1"/>
  <c r="C1061" i="11"/>
  <c r="H1061" i="11" s="1"/>
  <c r="C1058" i="11"/>
  <c r="H1058" i="11" s="1"/>
  <c r="E1066" i="11"/>
  <c r="C1063" i="11"/>
  <c r="H1063" i="11" s="1"/>
  <c r="C1060" i="11"/>
  <c r="H1060" i="11" s="1"/>
  <c r="E1069" i="11"/>
  <c r="G1065" i="11"/>
  <c r="K1065" i="11" s="1"/>
  <c r="G1062" i="11"/>
  <c r="G1059" i="11"/>
  <c r="E36" i="11"/>
  <c r="E32" i="11"/>
  <c r="E28" i="11"/>
  <c r="D36" i="11"/>
  <c r="D32" i="11"/>
  <c r="D28" i="11"/>
  <c r="G37" i="11"/>
  <c r="K37" i="11" s="1"/>
  <c r="C36" i="11"/>
  <c r="H36" i="11" s="1"/>
  <c r="G33" i="11"/>
  <c r="K33" i="11" s="1"/>
  <c r="C32" i="11"/>
  <c r="H32" i="11" s="1"/>
  <c r="G29" i="11"/>
  <c r="C28" i="11"/>
  <c r="H28" i="11" s="1"/>
  <c r="G36" i="11"/>
  <c r="C35" i="11"/>
  <c r="H35" i="11" s="1"/>
  <c r="G32" i="11"/>
  <c r="C31" i="11"/>
  <c r="H31" i="11" s="1"/>
  <c r="G28" i="11"/>
  <c r="C27" i="11"/>
  <c r="H27" i="11" s="1"/>
  <c r="F35" i="11"/>
  <c r="F33" i="11"/>
  <c r="F26" i="11"/>
  <c r="E35" i="11"/>
  <c r="E33" i="11"/>
  <c r="E26" i="11"/>
  <c r="D35" i="11"/>
  <c r="D33" i="11"/>
  <c r="D26" i="11"/>
  <c r="C33" i="11"/>
  <c r="H33" i="11" s="1"/>
  <c r="G31" i="11"/>
  <c r="C26" i="11"/>
  <c r="H26" i="11" s="1"/>
  <c r="F31" i="11"/>
  <c r="F29" i="11"/>
  <c r="E31" i="11"/>
  <c r="E29" i="11"/>
  <c r="D31" i="11"/>
  <c r="D29" i="11"/>
  <c r="F36" i="11"/>
  <c r="G34" i="11"/>
  <c r="K34" i="11" s="1"/>
  <c r="C29" i="11"/>
  <c r="H29" i="11" s="1"/>
  <c r="G27" i="11"/>
  <c r="K27" i="11" s="1"/>
  <c r="F34" i="11"/>
  <c r="F27" i="11"/>
  <c r="E34" i="11"/>
  <c r="E27" i="11"/>
  <c r="D34" i="11"/>
  <c r="D27" i="11"/>
  <c r="C34" i="11"/>
  <c r="H34" i="11" s="1"/>
  <c r="F32" i="11"/>
  <c r="G30" i="11"/>
  <c r="F37" i="11"/>
  <c r="F30" i="11"/>
  <c r="E37" i="11"/>
  <c r="E30" i="11"/>
  <c r="D37" i="11"/>
  <c r="D30" i="11"/>
  <c r="C30" i="11"/>
  <c r="H30" i="11" s="1"/>
  <c r="F28" i="11"/>
  <c r="G26" i="11"/>
  <c r="C37" i="11"/>
  <c r="H37" i="11" s="1"/>
  <c r="G35" i="11"/>
  <c r="K35" i="11" s="1"/>
  <c r="G107" i="11"/>
  <c r="C106" i="11"/>
  <c r="H106" i="11" s="1"/>
  <c r="G103" i="11"/>
  <c r="C102" i="11"/>
  <c r="H102" i="11" s="1"/>
  <c r="G99" i="11"/>
  <c r="F107" i="11"/>
  <c r="E107" i="11"/>
  <c r="E109" i="11"/>
  <c r="D103" i="11"/>
  <c r="F100" i="11"/>
  <c r="D109" i="11"/>
  <c r="C103" i="11"/>
  <c r="H103" i="11" s="1"/>
  <c r="E100" i="11"/>
  <c r="C109" i="11"/>
  <c r="H109" i="11" s="1"/>
  <c r="G104" i="11"/>
  <c r="D100" i="11"/>
  <c r="D107" i="11"/>
  <c r="F104" i="11"/>
  <c r="C100" i="11"/>
  <c r="H100" i="11" s="1"/>
  <c r="C107" i="11"/>
  <c r="H107" i="11" s="1"/>
  <c r="E104" i="11"/>
  <c r="G101" i="11"/>
  <c r="D104" i="11"/>
  <c r="F101" i="11"/>
  <c r="C104" i="11"/>
  <c r="H104" i="11" s="1"/>
  <c r="E101" i="11"/>
  <c r="G98" i="11"/>
  <c r="F108" i="11"/>
  <c r="F105" i="11"/>
  <c r="G109" i="11"/>
  <c r="E106" i="11"/>
  <c r="F103" i="11"/>
  <c r="C99" i="11"/>
  <c r="H99" i="11" s="1"/>
  <c r="E108" i="11"/>
  <c r="C105" i="11"/>
  <c r="H105" i="11" s="1"/>
  <c r="D102" i="11"/>
  <c r="E99" i="11"/>
  <c r="D108" i="11"/>
  <c r="D99" i="11"/>
  <c r="C108" i="11"/>
  <c r="H108" i="11" s="1"/>
  <c r="D101" i="11"/>
  <c r="F98" i="11"/>
  <c r="C101" i="11"/>
  <c r="H101" i="11" s="1"/>
  <c r="E98" i="11"/>
  <c r="D98" i="11"/>
  <c r="C98" i="11"/>
  <c r="H98" i="11" s="1"/>
  <c r="G106" i="11"/>
  <c r="E103" i="11"/>
  <c r="G100" i="11"/>
  <c r="F106" i="11"/>
  <c r="D106" i="11"/>
  <c r="G105" i="11"/>
  <c r="G102" i="11"/>
  <c r="F109" i="11"/>
  <c r="E105" i="11"/>
  <c r="F102" i="11"/>
  <c r="G108" i="11"/>
  <c r="K108" i="11" s="1"/>
  <c r="D105" i="11"/>
  <c r="E102" i="11"/>
  <c r="F99" i="11"/>
  <c r="G191" i="11"/>
  <c r="C190" i="11"/>
  <c r="H190" i="11" s="1"/>
  <c r="G187" i="11"/>
  <c r="K187" i="11" s="1"/>
  <c r="C186" i="11"/>
  <c r="H186" i="11" s="1"/>
  <c r="G183" i="11"/>
  <c r="K183" i="11" s="1"/>
  <c r="C182" i="11"/>
  <c r="H182" i="11" s="1"/>
  <c r="F191" i="11"/>
  <c r="F187" i="11"/>
  <c r="F183" i="11"/>
  <c r="E191" i="11"/>
  <c r="E187" i="11"/>
  <c r="E183" i="11"/>
  <c r="E190" i="11"/>
  <c r="E186" i="11"/>
  <c r="E182" i="11"/>
  <c r="D188" i="11"/>
  <c r="G193" i="11"/>
  <c r="C188" i="11"/>
  <c r="H188" i="11" s="1"/>
  <c r="G186" i="11"/>
  <c r="G184" i="11"/>
  <c r="K184" i="11" s="1"/>
  <c r="F193" i="11"/>
  <c r="F186" i="11"/>
  <c r="F184" i="11"/>
  <c r="E193" i="11"/>
  <c r="D186" i="11"/>
  <c r="E184" i="11"/>
  <c r="D193" i="11"/>
  <c r="D191" i="11"/>
  <c r="D184" i="11"/>
  <c r="C193" i="11"/>
  <c r="H193" i="11" s="1"/>
  <c r="C191" i="11"/>
  <c r="H191" i="11" s="1"/>
  <c r="G189" i="11"/>
  <c r="K189" i="11" s="1"/>
  <c r="C184" i="11"/>
  <c r="H184" i="11" s="1"/>
  <c r="G182" i="11"/>
  <c r="K182" i="11" s="1"/>
  <c r="F189" i="11"/>
  <c r="F182" i="11"/>
  <c r="E189" i="11"/>
  <c r="D182" i="11"/>
  <c r="D189" i="11"/>
  <c r="D187" i="11"/>
  <c r="G192" i="11"/>
  <c r="K192" i="11" s="1"/>
  <c r="C189" i="11"/>
  <c r="H189" i="11" s="1"/>
  <c r="C187" i="11"/>
  <c r="H187" i="11" s="1"/>
  <c r="G185" i="11"/>
  <c r="K185" i="11" s="1"/>
  <c r="F192" i="11"/>
  <c r="F185" i="11"/>
  <c r="E192" i="11"/>
  <c r="E185" i="11"/>
  <c r="D192" i="11"/>
  <c r="D185" i="11"/>
  <c r="D183" i="11"/>
  <c r="C192" i="11"/>
  <c r="H192" i="11" s="1"/>
  <c r="G190" i="11"/>
  <c r="K190" i="11" s="1"/>
  <c r="G188" i="11"/>
  <c r="K188" i="11" s="1"/>
  <c r="C185" i="11"/>
  <c r="H185" i="11" s="1"/>
  <c r="C183" i="11"/>
  <c r="H183" i="11" s="1"/>
  <c r="F190" i="11"/>
  <c r="F188" i="11"/>
  <c r="D190" i="11"/>
  <c r="E188" i="11"/>
  <c r="G239" i="11"/>
  <c r="C238" i="11"/>
  <c r="H238" i="11" s="1"/>
  <c r="G235" i="11"/>
  <c r="C234" i="11"/>
  <c r="H234" i="11" s="1"/>
  <c r="G231" i="11"/>
  <c r="C230" i="11"/>
  <c r="H230" i="11" s="1"/>
  <c r="F239" i="11"/>
  <c r="F235" i="11"/>
  <c r="F231" i="11"/>
  <c r="E239" i="11"/>
  <c r="E235" i="11"/>
  <c r="E231" i="11"/>
  <c r="D239" i="11"/>
  <c r="D235" i="11"/>
  <c r="D231" i="11"/>
  <c r="G240" i="11"/>
  <c r="K240" i="11" s="1"/>
  <c r="C239" i="11"/>
  <c r="H239" i="11" s="1"/>
  <c r="G236" i="11"/>
  <c r="C235" i="11"/>
  <c r="H235" i="11" s="1"/>
  <c r="G232" i="11"/>
  <c r="C231" i="11"/>
  <c r="H231" i="11" s="1"/>
  <c r="F240" i="11"/>
  <c r="F236" i="11"/>
  <c r="F232" i="11"/>
  <c r="E240" i="11"/>
  <c r="E236" i="11"/>
  <c r="E232" i="11"/>
  <c r="G241" i="11"/>
  <c r="K241" i="11" s="1"/>
  <c r="C240" i="11"/>
  <c r="H240" i="11" s="1"/>
  <c r="G237" i="11"/>
  <c r="K237" i="11" s="1"/>
  <c r="C236" i="11"/>
  <c r="H236" i="11" s="1"/>
  <c r="F241" i="11"/>
  <c r="F237" i="11"/>
  <c r="E238" i="11"/>
  <c r="E234" i="11"/>
  <c r="E230" i="11"/>
  <c r="D236" i="11"/>
  <c r="F233" i="11"/>
  <c r="E233" i="11"/>
  <c r="D233" i="11"/>
  <c r="C233" i="11"/>
  <c r="H233" i="11" s="1"/>
  <c r="G230" i="11"/>
  <c r="K230" i="11" s="1"/>
  <c r="F230" i="11"/>
  <c r="D230" i="11"/>
  <c r="D232" i="11"/>
  <c r="G238" i="11"/>
  <c r="K238" i="11" s="1"/>
  <c r="C232" i="11"/>
  <c r="H232" i="11" s="1"/>
  <c r="F238" i="11"/>
  <c r="E241" i="11"/>
  <c r="D238" i="11"/>
  <c r="D241" i="11"/>
  <c r="C241" i="11"/>
  <c r="H241" i="11" s="1"/>
  <c r="E237" i="11"/>
  <c r="G234" i="11"/>
  <c r="D237" i="11"/>
  <c r="F234" i="11"/>
  <c r="C237" i="11"/>
  <c r="H237" i="11" s="1"/>
  <c r="D234" i="11"/>
  <c r="D240" i="11"/>
  <c r="G233" i="11"/>
  <c r="K233" i="11" s="1"/>
  <c r="C361" i="11"/>
  <c r="H361" i="11" s="1"/>
  <c r="G360" i="11"/>
  <c r="K360" i="11" s="1"/>
  <c r="E356" i="11"/>
  <c r="E352" i="11"/>
  <c r="F360" i="11"/>
  <c r="D356" i="11"/>
  <c r="D352" i="11"/>
  <c r="E360" i="11"/>
  <c r="G357" i="11"/>
  <c r="C356" i="11"/>
  <c r="H356" i="11" s="1"/>
  <c r="G353" i="11"/>
  <c r="K353" i="11" s="1"/>
  <c r="C352" i="11"/>
  <c r="H352" i="11" s="1"/>
  <c r="D360" i="11"/>
  <c r="F357" i="11"/>
  <c r="F353" i="11"/>
  <c r="C360" i="11"/>
  <c r="H360" i="11" s="1"/>
  <c r="E357" i="11"/>
  <c r="E353" i="11"/>
  <c r="D357" i="11"/>
  <c r="D353" i="11"/>
  <c r="G358" i="11"/>
  <c r="K358" i="11" s="1"/>
  <c r="C357" i="11"/>
  <c r="H357" i="11" s="1"/>
  <c r="G354" i="11"/>
  <c r="C353" i="11"/>
  <c r="H353" i="11" s="1"/>
  <c r="G350" i="11"/>
  <c r="G361" i="11"/>
  <c r="K361" i="11" s="1"/>
  <c r="F361" i="11"/>
  <c r="E358" i="11"/>
  <c r="E354" i="11"/>
  <c r="E350" i="11"/>
  <c r="E361" i="11"/>
  <c r="D358" i="11"/>
  <c r="D354" i="11"/>
  <c r="D350" i="11"/>
  <c r="D361" i="11"/>
  <c r="C359" i="11"/>
  <c r="H359" i="11" s="1"/>
  <c r="G356" i="11"/>
  <c r="C355" i="11"/>
  <c r="H355" i="11" s="1"/>
  <c r="G352" i="11"/>
  <c r="C351" i="11"/>
  <c r="H351" i="11" s="1"/>
  <c r="E355" i="11"/>
  <c r="G351" i="11"/>
  <c r="K351" i="11" s="1"/>
  <c r="F358" i="11"/>
  <c r="D355" i="11"/>
  <c r="F351" i="11"/>
  <c r="C358" i="11"/>
  <c r="H358" i="11" s="1"/>
  <c r="E351" i="11"/>
  <c r="F354" i="11"/>
  <c r="D351" i="11"/>
  <c r="C354" i="11"/>
  <c r="H354" i="11" s="1"/>
  <c r="F350" i="11"/>
  <c r="C350" i="11"/>
  <c r="H350" i="11" s="1"/>
  <c r="G359" i="11"/>
  <c r="K359" i="11" s="1"/>
  <c r="F356" i="11"/>
  <c r="F359" i="11"/>
  <c r="E359" i="11"/>
  <c r="G355" i="11"/>
  <c r="F352" i="11"/>
  <c r="D359" i="11"/>
  <c r="F355" i="11"/>
  <c r="C421" i="11"/>
  <c r="H421" i="11" s="1"/>
  <c r="G418" i="11"/>
  <c r="K418" i="11" s="1"/>
  <c r="C417" i="11"/>
  <c r="H417" i="11" s="1"/>
  <c r="G414" i="11"/>
  <c r="K414" i="11" s="1"/>
  <c r="C413" i="11"/>
  <c r="H413" i="11" s="1"/>
  <c r="G410" i="11"/>
  <c r="F418" i="11"/>
  <c r="F414" i="11"/>
  <c r="F410" i="11"/>
  <c r="E418" i="11"/>
  <c r="E414" i="11"/>
  <c r="E410" i="11"/>
  <c r="E421" i="11"/>
  <c r="E417" i="11"/>
  <c r="E413" i="11"/>
  <c r="F420" i="11"/>
  <c r="F413" i="11"/>
  <c r="F411" i="11"/>
  <c r="E420" i="11"/>
  <c r="D413" i="11"/>
  <c r="E411" i="11"/>
  <c r="D420" i="11"/>
  <c r="D418" i="11"/>
  <c r="D411" i="11"/>
  <c r="C420" i="11"/>
  <c r="H420" i="11" s="1"/>
  <c r="C418" i="11"/>
  <c r="H418" i="11" s="1"/>
  <c r="G416" i="11"/>
  <c r="C411" i="11"/>
  <c r="H411" i="11" s="1"/>
  <c r="F416" i="11"/>
  <c r="E416" i="11"/>
  <c r="D416" i="11"/>
  <c r="D414" i="11"/>
  <c r="G421" i="11"/>
  <c r="K421" i="11" s="1"/>
  <c r="G419" i="11"/>
  <c r="K419" i="11" s="1"/>
  <c r="C416" i="11"/>
  <c r="H416" i="11" s="1"/>
  <c r="C414" i="11"/>
  <c r="H414" i="11" s="1"/>
  <c r="G412" i="11"/>
  <c r="K412" i="11" s="1"/>
  <c r="F421" i="11"/>
  <c r="F419" i="11"/>
  <c r="F412" i="11"/>
  <c r="D421" i="11"/>
  <c r="E419" i="11"/>
  <c r="E412" i="11"/>
  <c r="D419" i="11"/>
  <c r="D412" i="11"/>
  <c r="D410" i="11"/>
  <c r="C419" i="11"/>
  <c r="H419" i="11" s="1"/>
  <c r="G417" i="11"/>
  <c r="K417" i="11" s="1"/>
  <c r="G415" i="11"/>
  <c r="K415" i="11" s="1"/>
  <c r="C412" i="11"/>
  <c r="H412" i="11" s="1"/>
  <c r="C410" i="11"/>
  <c r="H410" i="11" s="1"/>
  <c r="F417" i="11"/>
  <c r="F415" i="11"/>
  <c r="D417" i="11"/>
  <c r="E415" i="11"/>
  <c r="D415" i="11"/>
  <c r="G411" i="11"/>
  <c r="K411" i="11" s="1"/>
  <c r="G420" i="11"/>
  <c r="C415" i="11"/>
  <c r="H415" i="11" s="1"/>
  <c r="G413" i="11"/>
  <c r="BM38" i="3"/>
  <c r="I38" i="3" s="1"/>
  <c r="G45" i="3"/>
  <c r="AA47" i="3"/>
  <c r="AX47" i="3" s="1"/>
  <c r="AS47" i="3"/>
  <c r="AS51" i="3"/>
  <c r="AV54" i="3"/>
  <c r="AT54" i="3"/>
  <c r="AA69" i="3"/>
  <c r="AX69" i="3" s="1"/>
  <c r="AS69" i="3"/>
  <c r="G1140" i="11"/>
  <c r="K1140" i="11" s="1"/>
  <c r="C1139" i="11"/>
  <c r="H1139" i="11" s="1"/>
  <c r="G1136" i="11"/>
  <c r="K1136" i="11" s="1"/>
  <c r="C1135" i="11"/>
  <c r="H1135" i="11" s="1"/>
  <c r="G1132" i="11"/>
  <c r="K1132" i="11" s="1"/>
  <c r="C1131" i="11"/>
  <c r="H1131" i="11" s="1"/>
  <c r="E1140" i="11"/>
  <c r="E1136" i="11"/>
  <c r="E1132" i="11"/>
  <c r="D1140" i="11"/>
  <c r="D1136" i="11"/>
  <c r="D1132" i="11"/>
  <c r="E1141" i="11"/>
  <c r="E1137" i="11"/>
  <c r="E1133" i="11"/>
  <c r="D1138" i="11"/>
  <c r="D1134" i="11"/>
  <c r="D1130" i="11"/>
  <c r="G1138" i="11"/>
  <c r="F1140" i="11"/>
  <c r="F1138" i="11"/>
  <c r="G1134" i="11"/>
  <c r="C1141" i="11"/>
  <c r="H1141" i="11" s="1"/>
  <c r="E1139" i="11"/>
  <c r="D1137" i="11"/>
  <c r="C1140" i="11"/>
  <c r="H1140" i="11" s="1"/>
  <c r="F1133" i="11"/>
  <c r="E1131" i="11"/>
  <c r="G1135" i="11"/>
  <c r="K1135" i="11" s="1"/>
  <c r="D1133" i="11"/>
  <c r="D1131" i="11"/>
  <c r="F1135" i="11"/>
  <c r="C1133" i="11"/>
  <c r="H1133" i="11" s="1"/>
  <c r="G1137" i="11"/>
  <c r="K1137" i="11" s="1"/>
  <c r="E1135" i="11"/>
  <c r="F1137" i="11"/>
  <c r="D1135" i="11"/>
  <c r="G1130" i="11"/>
  <c r="C1137" i="11"/>
  <c r="H1137" i="11" s="1"/>
  <c r="F1130" i="11"/>
  <c r="G1139" i="11"/>
  <c r="K1139" i="11" s="1"/>
  <c r="E1130" i="11"/>
  <c r="F1139" i="11"/>
  <c r="F1132" i="11"/>
  <c r="C1130" i="11"/>
  <c r="H1130" i="11" s="1"/>
  <c r="G1141" i="11"/>
  <c r="K1141" i="11" s="1"/>
  <c r="D1139" i="11"/>
  <c r="F1134" i="11"/>
  <c r="C1132" i="11"/>
  <c r="H1132" i="11" s="1"/>
  <c r="F1141" i="11"/>
  <c r="E1134" i="11"/>
  <c r="D1141" i="11"/>
  <c r="F1136" i="11"/>
  <c r="C1134" i="11"/>
  <c r="H1134" i="11" s="1"/>
  <c r="C1136" i="11"/>
  <c r="H1136" i="11" s="1"/>
  <c r="E1138" i="11"/>
  <c r="C1138" i="11"/>
  <c r="H1138" i="11" s="1"/>
  <c r="G1131" i="11"/>
  <c r="K1131" i="11" s="1"/>
  <c r="G1133" i="11"/>
  <c r="K1133" i="11" s="1"/>
  <c r="F1131" i="11"/>
  <c r="F577" i="11"/>
  <c r="F573" i="11"/>
  <c r="F569" i="11"/>
  <c r="F576" i="11"/>
  <c r="C572" i="11"/>
  <c r="H572" i="11" s="1"/>
  <c r="D569" i="11"/>
  <c r="F566" i="11"/>
  <c r="E576" i="11"/>
  <c r="G573" i="11"/>
  <c r="K573" i="11" s="1"/>
  <c r="C569" i="11"/>
  <c r="H569" i="11" s="1"/>
  <c r="E566" i="11"/>
  <c r="D576" i="11"/>
  <c r="E573" i="11"/>
  <c r="G570" i="11"/>
  <c r="K570" i="11" s="1"/>
  <c r="D566" i="11"/>
  <c r="C576" i="11"/>
  <c r="H576" i="11" s="1"/>
  <c r="D573" i="11"/>
  <c r="F570" i="11"/>
  <c r="C566" i="11"/>
  <c r="H566" i="11" s="1"/>
  <c r="G577" i="11"/>
  <c r="K577" i="11" s="1"/>
  <c r="C573" i="11"/>
  <c r="H573" i="11" s="1"/>
  <c r="E570" i="11"/>
  <c r="G567" i="11"/>
  <c r="K567" i="11" s="1"/>
  <c r="E577" i="11"/>
  <c r="G574" i="11"/>
  <c r="D570" i="11"/>
  <c r="F567" i="11"/>
  <c r="D577" i="11"/>
  <c r="F574" i="11"/>
  <c r="C570" i="11"/>
  <c r="H570" i="11" s="1"/>
  <c r="E567" i="11"/>
  <c r="D574" i="11"/>
  <c r="C574" i="11"/>
  <c r="H574" i="11" s="1"/>
  <c r="C575" i="11"/>
  <c r="H575" i="11" s="1"/>
  <c r="E572" i="11"/>
  <c r="G569" i="11"/>
  <c r="K569" i="11" s="1"/>
  <c r="D568" i="11"/>
  <c r="C577" i="11"/>
  <c r="H577" i="11" s="1"/>
  <c r="C568" i="11"/>
  <c r="H568" i="11" s="1"/>
  <c r="D567" i="11"/>
  <c r="C567" i="11"/>
  <c r="H567" i="11" s="1"/>
  <c r="G576" i="11"/>
  <c r="K576" i="11" s="1"/>
  <c r="G575" i="11"/>
  <c r="G572" i="11"/>
  <c r="K572" i="11" s="1"/>
  <c r="F575" i="11"/>
  <c r="F572" i="11"/>
  <c r="E575" i="11"/>
  <c r="D572" i="11"/>
  <c r="E569" i="11"/>
  <c r="G566" i="11"/>
  <c r="K566" i="11" s="1"/>
  <c r="D575" i="11"/>
  <c r="G571" i="11"/>
  <c r="F571" i="11"/>
  <c r="E574" i="11"/>
  <c r="E571" i="11"/>
  <c r="G568" i="11"/>
  <c r="D571" i="11"/>
  <c r="F568" i="11"/>
  <c r="C571" i="11"/>
  <c r="H571" i="11" s="1"/>
  <c r="E568" i="11"/>
  <c r="AS66" i="3"/>
  <c r="E756" i="11"/>
  <c r="E752" i="11"/>
  <c r="E748" i="11"/>
  <c r="D756" i="11"/>
  <c r="D752" i="11"/>
  <c r="D748" i="11"/>
  <c r="C757" i="11"/>
  <c r="H757" i="11" s="1"/>
  <c r="C754" i="11"/>
  <c r="H754" i="11" s="1"/>
  <c r="C751" i="11"/>
  <c r="H751" i="11" s="1"/>
  <c r="G749" i="11"/>
  <c r="G746" i="11"/>
  <c r="K746" i="11" s="1"/>
  <c r="F749" i="11"/>
  <c r="F746" i="11"/>
  <c r="G755" i="11"/>
  <c r="K755" i="11" s="1"/>
  <c r="G752" i="11"/>
  <c r="K752" i="11" s="1"/>
  <c r="E749" i="11"/>
  <c r="E746" i="11"/>
  <c r="F755" i="11"/>
  <c r="F752" i="11"/>
  <c r="D749" i="11"/>
  <c r="D746" i="11"/>
  <c r="E755" i="11"/>
  <c r="D755" i="11"/>
  <c r="C755" i="11"/>
  <c r="H755" i="11" s="1"/>
  <c r="G753" i="11"/>
  <c r="K753" i="11" s="1"/>
  <c r="F753" i="11"/>
  <c r="E757" i="11"/>
  <c r="E754" i="11"/>
  <c r="E751" i="11"/>
  <c r="C748" i="11"/>
  <c r="H748" i="11" s="1"/>
  <c r="D757" i="11"/>
  <c r="D754" i="11"/>
  <c r="D751" i="11"/>
  <c r="C749" i="11"/>
  <c r="H749" i="11" s="1"/>
  <c r="C746" i="11"/>
  <c r="H746" i="11" s="1"/>
  <c r="G751" i="11"/>
  <c r="K751" i="11" s="1"/>
  <c r="F751" i="11"/>
  <c r="G754" i="11"/>
  <c r="K754" i="11" s="1"/>
  <c r="G748" i="11"/>
  <c r="F754" i="11"/>
  <c r="G750" i="11"/>
  <c r="K750" i="11" s="1"/>
  <c r="F748" i="11"/>
  <c r="E753" i="11"/>
  <c r="F750" i="11"/>
  <c r="D753" i="11"/>
  <c r="E750" i="11"/>
  <c r="G747" i="11"/>
  <c r="K747" i="11" s="1"/>
  <c r="G757" i="11"/>
  <c r="K757" i="11" s="1"/>
  <c r="C753" i="11"/>
  <c r="H753" i="11" s="1"/>
  <c r="D750" i="11"/>
  <c r="F747" i="11"/>
  <c r="F757" i="11"/>
  <c r="C750" i="11"/>
  <c r="H750" i="11" s="1"/>
  <c r="E747" i="11"/>
  <c r="G756" i="11"/>
  <c r="K756" i="11" s="1"/>
  <c r="D747" i="11"/>
  <c r="F756" i="11"/>
  <c r="C747" i="11"/>
  <c r="H747" i="11" s="1"/>
  <c r="C756" i="11"/>
  <c r="H756" i="11" s="1"/>
  <c r="C752" i="11"/>
  <c r="H752" i="11" s="1"/>
  <c r="AV70" i="3"/>
  <c r="AT70" i="3"/>
  <c r="E816" i="11"/>
  <c r="E812" i="11"/>
  <c r="E808" i="11"/>
  <c r="D816" i="11"/>
  <c r="D812" i="11"/>
  <c r="D808" i="11"/>
  <c r="C815" i="11"/>
  <c r="H815" i="11" s="1"/>
  <c r="G813" i="11"/>
  <c r="K813" i="11" s="1"/>
  <c r="G810" i="11"/>
  <c r="G807" i="11"/>
  <c r="K807" i="11" s="1"/>
  <c r="F813" i="11"/>
  <c r="F810" i="11"/>
  <c r="F807" i="11"/>
  <c r="G816" i="11"/>
  <c r="K816" i="11" s="1"/>
  <c r="E813" i="11"/>
  <c r="E810" i="11"/>
  <c r="E807" i="11"/>
  <c r="F816" i="11"/>
  <c r="D813" i="11"/>
  <c r="D810" i="11"/>
  <c r="D807" i="11"/>
  <c r="C816" i="11"/>
  <c r="H816" i="11" s="1"/>
  <c r="C813" i="11"/>
  <c r="H813" i="11" s="1"/>
  <c r="C810" i="11"/>
  <c r="H810" i="11" s="1"/>
  <c r="C807" i="11"/>
  <c r="H807" i="11" s="1"/>
  <c r="G817" i="11"/>
  <c r="G814" i="11"/>
  <c r="G811" i="11"/>
  <c r="G808" i="11"/>
  <c r="F817" i="11"/>
  <c r="F814" i="11"/>
  <c r="F811" i="11"/>
  <c r="F808" i="11"/>
  <c r="E817" i="11"/>
  <c r="E814" i="11"/>
  <c r="E811" i="11"/>
  <c r="C808" i="11"/>
  <c r="H808" i="11" s="1"/>
  <c r="D817" i="11"/>
  <c r="D814" i="11"/>
  <c r="D811" i="11"/>
  <c r="C817" i="11"/>
  <c r="H817" i="11" s="1"/>
  <c r="C814" i="11"/>
  <c r="H814" i="11" s="1"/>
  <c r="C811" i="11"/>
  <c r="H811" i="11" s="1"/>
  <c r="G809" i="11"/>
  <c r="K809" i="11" s="1"/>
  <c r="G806" i="11"/>
  <c r="F809" i="11"/>
  <c r="F806" i="11"/>
  <c r="G815" i="11"/>
  <c r="K815" i="11" s="1"/>
  <c r="G812" i="11"/>
  <c r="K812" i="11" s="1"/>
  <c r="E809" i="11"/>
  <c r="E806" i="11"/>
  <c r="F815" i="11"/>
  <c r="F812" i="11"/>
  <c r="D809" i="11"/>
  <c r="D806" i="11"/>
  <c r="E815" i="11"/>
  <c r="C812" i="11"/>
  <c r="H812" i="11" s="1"/>
  <c r="C809" i="11"/>
  <c r="H809" i="11" s="1"/>
  <c r="C806" i="11"/>
  <c r="H806" i="11" s="1"/>
  <c r="D815" i="11"/>
  <c r="BO71" i="3"/>
  <c r="W71" i="3" s="1"/>
  <c r="BC37" i="3"/>
  <c r="BB37" i="3"/>
  <c r="AS46" i="3"/>
  <c r="AA46" i="3"/>
  <c r="AX46" i="3" s="1"/>
  <c r="BK48" i="3"/>
  <c r="BM48" i="3" s="1"/>
  <c r="I48" i="3" s="1"/>
  <c r="E983" i="11"/>
  <c r="E979" i="11"/>
  <c r="E975" i="11"/>
  <c r="D983" i="11"/>
  <c r="D979" i="11"/>
  <c r="D975" i="11"/>
  <c r="G984" i="11"/>
  <c r="K984" i="11" s="1"/>
  <c r="G981" i="11"/>
  <c r="K981" i="11" s="1"/>
  <c r="G978" i="11"/>
  <c r="K978" i="11" s="1"/>
  <c r="G975" i="11"/>
  <c r="K975" i="11" s="1"/>
  <c r="F984" i="11"/>
  <c r="F981" i="11"/>
  <c r="F978" i="11"/>
  <c r="F975" i="11"/>
  <c r="E984" i="11"/>
  <c r="E981" i="11"/>
  <c r="E978" i="11"/>
  <c r="C975" i="11"/>
  <c r="H975" i="11" s="1"/>
  <c r="D984" i="11"/>
  <c r="D981" i="11"/>
  <c r="D978" i="11"/>
  <c r="C984" i="11"/>
  <c r="H984" i="11" s="1"/>
  <c r="C981" i="11"/>
  <c r="H981" i="11" s="1"/>
  <c r="C978" i="11"/>
  <c r="H978" i="11" s="1"/>
  <c r="G976" i="11"/>
  <c r="K976" i="11" s="1"/>
  <c r="F976" i="11"/>
  <c r="G985" i="11"/>
  <c r="K985" i="11" s="1"/>
  <c r="G982" i="11"/>
  <c r="K982" i="11" s="1"/>
  <c r="G979" i="11"/>
  <c r="E976" i="11"/>
  <c r="F985" i="11"/>
  <c r="F982" i="11"/>
  <c r="F979" i="11"/>
  <c r="E985" i="11"/>
  <c r="E982" i="11"/>
  <c r="C979" i="11"/>
  <c r="H979" i="11" s="1"/>
  <c r="D985" i="11"/>
  <c r="D982" i="11"/>
  <c r="G983" i="11"/>
  <c r="K983" i="11" s="1"/>
  <c r="E980" i="11"/>
  <c r="E977" i="11"/>
  <c r="E974" i="11"/>
  <c r="F983" i="11"/>
  <c r="D980" i="11"/>
  <c r="D977" i="11"/>
  <c r="D974" i="11"/>
  <c r="C983" i="11"/>
  <c r="H983" i="11" s="1"/>
  <c r="C980" i="11"/>
  <c r="H980" i="11" s="1"/>
  <c r="C977" i="11"/>
  <c r="H977" i="11" s="1"/>
  <c r="C974" i="11"/>
  <c r="H974" i="11" s="1"/>
  <c r="C985" i="11"/>
  <c r="H985" i="11" s="1"/>
  <c r="C982" i="11"/>
  <c r="H982" i="11" s="1"/>
  <c r="G974" i="11"/>
  <c r="K974" i="11" s="1"/>
  <c r="F974" i="11"/>
  <c r="G980" i="11"/>
  <c r="K980" i="11" s="1"/>
  <c r="F980" i="11"/>
  <c r="G977" i="11"/>
  <c r="K977" i="11" s="1"/>
  <c r="F977" i="11"/>
  <c r="D976" i="11"/>
  <c r="C976" i="11"/>
  <c r="H976" i="11" s="1"/>
  <c r="L87" i="11"/>
  <c r="L96" i="11"/>
  <c r="G179" i="11"/>
  <c r="K179" i="11" s="1"/>
  <c r="C178" i="11"/>
  <c r="H178" i="11" s="1"/>
  <c r="G175" i="11"/>
  <c r="K175" i="11" s="1"/>
  <c r="C174" i="11"/>
  <c r="H174" i="11" s="1"/>
  <c r="G171" i="11"/>
  <c r="K171" i="11" s="1"/>
  <c r="C170" i="11"/>
  <c r="H170" i="11" s="1"/>
  <c r="F179" i="11"/>
  <c r="F175" i="11"/>
  <c r="F171" i="11"/>
  <c r="E179" i="11"/>
  <c r="E175" i="11"/>
  <c r="E171" i="11"/>
  <c r="E178" i="11"/>
  <c r="E174" i="11"/>
  <c r="E170" i="11"/>
  <c r="D181" i="11"/>
  <c r="D179" i="11"/>
  <c r="D172" i="11"/>
  <c r="C181" i="11"/>
  <c r="H181" i="11" s="1"/>
  <c r="C179" i="11"/>
  <c r="H179" i="11" s="1"/>
  <c r="G177" i="11"/>
  <c r="K177" i="11" s="1"/>
  <c r="C172" i="11"/>
  <c r="H172" i="11" s="1"/>
  <c r="G170" i="11"/>
  <c r="K170" i="11" s="1"/>
  <c r="F177" i="11"/>
  <c r="F170" i="11"/>
  <c r="E177" i="11"/>
  <c r="D170" i="11"/>
  <c r="D177" i="11"/>
  <c r="D175" i="11"/>
  <c r="G180" i="11"/>
  <c r="C177" i="11"/>
  <c r="H177" i="11" s="1"/>
  <c r="C175" i="11"/>
  <c r="H175" i="11" s="1"/>
  <c r="G173" i="11"/>
  <c r="K173" i="11" s="1"/>
  <c r="F180" i="11"/>
  <c r="F173" i="11"/>
  <c r="E180" i="11"/>
  <c r="E173" i="11"/>
  <c r="D180" i="11"/>
  <c r="D173" i="11"/>
  <c r="D171" i="11"/>
  <c r="C180" i="11"/>
  <c r="H180" i="11" s="1"/>
  <c r="G178" i="11"/>
  <c r="K178" i="11" s="1"/>
  <c r="G176" i="11"/>
  <c r="K176" i="11" s="1"/>
  <c r="C173" i="11"/>
  <c r="H173" i="11" s="1"/>
  <c r="C171" i="11"/>
  <c r="H171" i="11" s="1"/>
  <c r="F178" i="11"/>
  <c r="F176" i="11"/>
  <c r="D178" i="11"/>
  <c r="E176" i="11"/>
  <c r="D176" i="11"/>
  <c r="G181" i="11"/>
  <c r="K181" i="11" s="1"/>
  <c r="C176" i="11"/>
  <c r="H176" i="11" s="1"/>
  <c r="G174" i="11"/>
  <c r="K174" i="11" s="1"/>
  <c r="G172" i="11"/>
  <c r="K172" i="11" s="1"/>
  <c r="F181" i="11"/>
  <c r="F174" i="11"/>
  <c r="F172" i="11"/>
  <c r="E181" i="11"/>
  <c r="D174" i="11"/>
  <c r="E172" i="11"/>
  <c r="G227" i="11"/>
  <c r="C226" i="11"/>
  <c r="H226" i="11" s="1"/>
  <c r="G223" i="11"/>
  <c r="C222" i="11"/>
  <c r="H222" i="11" s="1"/>
  <c r="G219" i="11"/>
  <c r="C218" i="11"/>
  <c r="H218" i="11" s="1"/>
  <c r="F227" i="11"/>
  <c r="F223" i="11"/>
  <c r="F219" i="11"/>
  <c r="E227" i="11"/>
  <c r="E223" i="11"/>
  <c r="E219" i="11"/>
  <c r="D227" i="11"/>
  <c r="D223" i="11"/>
  <c r="D219" i="11"/>
  <c r="G228" i="11"/>
  <c r="C227" i="11"/>
  <c r="H227" i="11" s="1"/>
  <c r="G224" i="11"/>
  <c r="C223" i="11"/>
  <c r="H223" i="11" s="1"/>
  <c r="F228" i="11"/>
  <c r="F224" i="11"/>
  <c r="F220" i="11"/>
  <c r="E228" i="11"/>
  <c r="E226" i="11"/>
  <c r="E222" i="11"/>
  <c r="E218" i="11"/>
  <c r="G225" i="11"/>
  <c r="K225" i="11" s="1"/>
  <c r="C221" i="11"/>
  <c r="H221" i="11" s="1"/>
  <c r="F225" i="11"/>
  <c r="E225" i="11"/>
  <c r="D225" i="11"/>
  <c r="G220" i="11"/>
  <c r="C225" i="11"/>
  <c r="H225" i="11" s="1"/>
  <c r="E220" i="11"/>
  <c r="G218" i="11"/>
  <c r="D220" i="11"/>
  <c r="F218" i="11"/>
  <c r="G222" i="11"/>
  <c r="C220" i="11"/>
  <c r="H220" i="11" s="1"/>
  <c r="D218" i="11"/>
  <c r="G229" i="11"/>
  <c r="K229" i="11" s="1"/>
  <c r="E224" i="11"/>
  <c r="F222" i="11"/>
  <c r="F229" i="11"/>
  <c r="D224" i="11"/>
  <c r="D222" i="11"/>
  <c r="E229" i="11"/>
  <c r="C224" i="11"/>
  <c r="H224" i="11" s="1"/>
  <c r="D229" i="11"/>
  <c r="C229" i="11"/>
  <c r="H229" i="11" s="1"/>
  <c r="G226" i="11"/>
  <c r="F226" i="11"/>
  <c r="G221" i="11"/>
  <c r="D226" i="11"/>
  <c r="F221" i="11"/>
  <c r="C219" i="11"/>
  <c r="H219" i="11" s="1"/>
  <c r="D228" i="11"/>
  <c r="E221" i="11"/>
  <c r="C228" i="11"/>
  <c r="H228" i="11" s="1"/>
  <c r="D221" i="11"/>
  <c r="BC10" i="3"/>
  <c r="BC18" i="3"/>
  <c r="BB21" i="3"/>
  <c r="AA22" i="3"/>
  <c r="AX22" i="3" s="1"/>
  <c r="AS22" i="3"/>
  <c r="AV24" i="3"/>
  <c r="C445" i="11"/>
  <c r="H445" i="11" s="1"/>
  <c r="G442" i="11"/>
  <c r="C441" i="11"/>
  <c r="H441" i="11" s="1"/>
  <c r="G438" i="11"/>
  <c r="K438" i="11" s="1"/>
  <c r="C437" i="11"/>
  <c r="H437" i="11" s="1"/>
  <c r="G434" i="11"/>
  <c r="K434" i="11" s="1"/>
  <c r="F442" i="11"/>
  <c r="F438" i="11"/>
  <c r="F434" i="11"/>
  <c r="E442" i="11"/>
  <c r="E438" i="11"/>
  <c r="E434" i="11"/>
  <c r="D442" i="11"/>
  <c r="F443" i="11"/>
  <c r="F439" i="11"/>
  <c r="E445" i="11"/>
  <c r="E441" i="11"/>
  <c r="E437" i="11"/>
  <c r="F444" i="11"/>
  <c r="C442" i="11"/>
  <c r="H442" i="11" s="1"/>
  <c r="D440" i="11"/>
  <c r="F436" i="11"/>
  <c r="E444" i="11"/>
  <c r="C440" i="11"/>
  <c r="H440" i="11" s="1"/>
  <c r="E436" i="11"/>
  <c r="D444" i="11"/>
  <c r="D436" i="11"/>
  <c r="D434" i="11"/>
  <c r="C444" i="11"/>
  <c r="H444" i="11" s="1"/>
  <c r="C436" i="11"/>
  <c r="H436" i="11" s="1"/>
  <c r="C434" i="11"/>
  <c r="H434" i="11" s="1"/>
  <c r="G439" i="11"/>
  <c r="E439" i="11"/>
  <c r="G443" i="11"/>
  <c r="D439" i="11"/>
  <c r="E443" i="11"/>
  <c r="G441" i="11"/>
  <c r="K441" i="11" s="1"/>
  <c r="C439" i="11"/>
  <c r="H439" i="11" s="1"/>
  <c r="G437" i="11"/>
  <c r="G435" i="11"/>
  <c r="D443" i="11"/>
  <c r="F441" i="11"/>
  <c r="F437" i="11"/>
  <c r="F435" i="11"/>
  <c r="C443" i="11"/>
  <c r="H443" i="11" s="1"/>
  <c r="D441" i="11"/>
  <c r="D437" i="11"/>
  <c r="E435" i="11"/>
  <c r="G445" i="11"/>
  <c r="D435" i="11"/>
  <c r="F445" i="11"/>
  <c r="C435" i="11"/>
  <c r="H435" i="11" s="1"/>
  <c r="D445" i="11"/>
  <c r="G440" i="11"/>
  <c r="K440" i="11" s="1"/>
  <c r="F440" i="11"/>
  <c r="D438" i="11"/>
  <c r="C438" i="11"/>
  <c r="H438" i="11" s="1"/>
  <c r="G436" i="11"/>
  <c r="G444" i="11"/>
  <c r="E440" i="11"/>
  <c r="BB42" i="3"/>
  <c r="F613" i="11"/>
  <c r="F609" i="11"/>
  <c r="F605" i="11"/>
  <c r="E613" i="11"/>
  <c r="E609" i="11"/>
  <c r="E605" i="11"/>
  <c r="E611" i="11"/>
  <c r="E608" i="11"/>
  <c r="C605" i="11"/>
  <c r="H605" i="11" s="1"/>
  <c r="C602" i="11"/>
  <c r="H602" i="11" s="1"/>
  <c r="D611" i="11"/>
  <c r="D608" i="11"/>
  <c r="C611" i="11"/>
  <c r="H611" i="11" s="1"/>
  <c r="C608" i="11"/>
  <c r="H608" i="11" s="1"/>
  <c r="G606" i="11"/>
  <c r="K606" i="11" s="1"/>
  <c r="G603" i="11"/>
  <c r="K603" i="11" s="1"/>
  <c r="F606" i="11"/>
  <c r="F603" i="11"/>
  <c r="G612" i="11"/>
  <c r="G609" i="11"/>
  <c r="E606" i="11"/>
  <c r="E603" i="11"/>
  <c r="F612" i="11"/>
  <c r="D609" i="11"/>
  <c r="D606" i="11"/>
  <c r="D603" i="11"/>
  <c r="E612" i="11"/>
  <c r="C609" i="11"/>
  <c r="H609" i="11" s="1"/>
  <c r="C606" i="11"/>
  <c r="H606" i="11" s="1"/>
  <c r="C603" i="11"/>
  <c r="H603" i="11" s="1"/>
  <c r="D612" i="11"/>
  <c r="C612" i="11"/>
  <c r="H612" i="11" s="1"/>
  <c r="G610" i="11"/>
  <c r="K610" i="11" s="1"/>
  <c r="G607" i="11"/>
  <c r="K607" i="11" s="1"/>
  <c r="G604" i="11"/>
  <c r="K604" i="11" s="1"/>
  <c r="F610" i="11"/>
  <c r="F607" i="11"/>
  <c r="F604" i="11"/>
  <c r="G613" i="11"/>
  <c r="K613" i="11" s="1"/>
  <c r="E610" i="11"/>
  <c r="E607" i="11"/>
  <c r="E604" i="11"/>
  <c r="D613" i="11"/>
  <c r="D610" i="11"/>
  <c r="D607" i="11"/>
  <c r="D604" i="11"/>
  <c r="C613" i="11"/>
  <c r="H613" i="11" s="1"/>
  <c r="C610" i="11"/>
  <c r="H610" i="11" s="1"/>
  <c r="C607" i="11"/>
  <c r="H607" i="11" s="1"/>
  <c r="C604" i="11"/>
  <c r="H604" i="11" s="1"/>
  <c r="F602" i="11"/>
  <c r="G611" i="11"/>
  <c r="K611" i="11" s="1"/>
  <c r="G608" i="11"/>
  <c r="K608" i="11" s="1"/>
  <c r="G605" i="11"/>
  <c r="K605" i="11" s="1"/>
  <c r="E602" i="11"/>
  <c r="D602" i="11"/>
  <c r="F611" i="11"/>
  <c r="F608" i="11"/>
  <c r="D605" i="11"/>
  <c r="G602" i="11"/>
  <c r="K602" i="11" s="1"/>
  <c r="BB57" i="3"/>
  <c r="BK62" i="3"/>
  <c r="BL62" i="3" s="1"/>
  <c r="AM62" i="3"/>
  <c r="C709" i="11"/>
  <c r="H709" i="11" s="1"/>
  <c r="G706" i="11"/>
  <c r="K706" i="11" s="1"/>
  <c r="C705" i="11"/>
  <c r="H705" i="11" s="1"/>
  <c r="G702" i="11"/>
  <c r="K702" i="11" s="1"/>
  <c r="C701" i="11"/>
  <c r="H701" i="11" s="1"/>
  <c r="G698" i="11"/>
  <c r="K698" i="11" s="1"/>
  <c r="F706" i="11"/>
  <c r="F702" i="11"/>
  <c r="F698" i="11"/>
  <c r="E707" i="11"/>
  <c r="E704" i="11"/>
  <c r="E701" i="11"/>
  <c r="C698" i="11"/>
  <c r="H698" i="11" s="1"/>
  <c r="D707" i="11"/>
  <c r="D704" i="11"/>
  <c r="D701" i="11"/>
  <c r="C707" i="11"/>
  <c r="H707" i="11" s="1"/>
  <c r="C704" i="11"/>
  <c r="H704" i="11" s="1"/>
  <c r="G699" i="11"/>
  <c r="K699" i="11" s="1"/>
  <c r="F699" i="11"/>
  <c r="G708" i="11"/>
  <c r="K708" i="11" s="1"/>
  <c r="G705" i="11"/>
  <c r="K705" i="11" s="1"/>
  <c r="E702" i="11"/>
  <c r="E699" i="11"/>
  <c r="F708" i="11"/>
  <c r="F705" i="11"/>
  <c r="D702" i="11"/>
  <c r="D699" i="11"/>
  <c r="E708" i="11"/>
  <c r="E705" i="11"/>
  <c r="C702" i="11"/>
  <c r="H702" i="11" s="1"/>
  <c r="C699" i="11"/>
  <c r="H699" i="11" s="1"/>
  <c r="D708" i="11"/>
  <c r="D705" i="11"/>
  <c r="C708" i="11"/>
  <c r="H708" i="11" s="1"/>
  <c r="G703" i="11"/>
  <c r="K703" i="11" s="1"/>
  <c r="G700" i="11"/>
  <c r="K700" i="11" s="1"/>
  <c r="F703" i="11"/>
  <c r="F700" i="11"/>
  <c r="G709" i="11"/>
  <c r="K709" i="11" s="1"/>
  <c r="F709" i="11"/>
  <c r="D706" i="11"/>
  <c r="D703" i="11"/>
  <c r="D700" i="11"/>
  <c r="D709" i="11"/>
  <c r="G707" i="11"/>
  <c r="K707" i="11" s="1"/>
  <c r="G704" i="11"/>
  <c r="K704" i="11" s="1"/>
  <c r="G701" i="11"/>
  <c r="K701" i="11" s="1"/>
  <c r="E698" i="11"/>
  <c r="C700" i="11"/>
  <c r="H700" i="11" s="1"/>
  <c r="F707" i="11"/>
  <c r="E706" i="11"/>
  <c r="C706" i="11"/>
  <c r="H706" i="11" s="1"/>
  <c r="D698" i="11"/>
  <c r="F704" i="11"/>
  <c r="E703" i="11"/>
  <c r="C703" i="11"/>
  <c r="H703" i="11" s="1"/>
  <c r="E709" i="11"/>
  <c r="F701" i="11"/>
  <c r="E700" i="11"/>
  <c r="BC64" i="3"/>
  <c r="BB64" i="3"/>
  <c r="C733" i="11"/>
  <c r="H733" i="11" s="1"/>
  <c r="G730" i="11"/>
  <c r="K730" i="11" s="1"/>
  <c r="C729" i="11"/>
  <c r="H729" i="11" s="1"/>
  <c r="G726" i="11"/>
  <c r="C725" i="11"/>
  <c r="H725" i="11" s="1"/>
  <c r="G722" i="11"/>
  <c r="K722" i="11" s="1"/>
  <c r="F730" i="11"/>
  <c r="F726" i="11"/>
  <c r="F722" i="11"/>
  <c r="E730" i="11"/>
  <c r="E733" i="11"/>
  <c r="E729" i="11"/>
  <c r="E725" i="11"/>
  <c r="D733" i="11"/>
  <c r="D729" i="11"/>
  <c r="D725" i="11"/>
  <c r="C727" i="11"/>
  <c r="H727" i="11" s="1"/>
  <c r="G725" i="11"/>
  <c r="K725" i="11" s="1"/>
  <c r="G723" i="11"/>
  <c r="K723" i="11" s="1"/>
  <c r="F725" i="11"/>
  <c r="F723" i="11"/>
  <c r="E723" i="11"/>
  <c r="D723" i="11"/>
  <c r="G732" i="11"/>
  <c r="K732" i="11" s="1"/>
  <c r="C723" i="11"/>
  <c r="H723" i="11" s="1"/>
  <c r="F732" i="11"/>
  <c r="D730" i="11"/>
  <c r="G728" i="11"/>
  <c r="K728" i="11" s="1"/>
  <c r="E732" i="11"/>
  <c r="C730" i="11"/>
  <c r="H730" i="11" s="1"/>
  <c r="F728" i="11"/>
  <c r="E726" i="11"/>
  <c r="D732" i="11"/>
  <c r="E728" i="11"/>
  <c r="D726" i="11"/>
  <c r="C732" i="11"/>
  <c r="H732" i="11" s="1"/>
  <c r="D728" i="11"/>
  <c r="C726" i="11"/>
  <c r="H726" i="11" s="1"/>
  <c r="G724" i="11"/>
  <c r="K724" i="11" s="1"/>
  <c r="C728" i="11"/>
  <c r="H728" i="11" s="1"/>
  <c r="F724" i="11"/>
  <c r="E724" i="11"/>
  <c r="E722" i="11"/>
  <c r="G731" i="11"/>
  <c r="K731" i="11" s="1"/>
  <c r="D724" i="11"/>
  <c r="D722" i="11"/>
  <c r="F731" i="11"/>
  <c r="G727" i="11"/>
  <c r="K727" i="11" s="1"/>
  <c r="C724" i="11"/>
  <c r="H724" i="11" s="1"/>
  <c r="C722" i="11"/>
  <c r="H722" i="11" s="1"/>
  <c r="G733" i="11"/>
  <c r="E731" i="11"/>
  <c r="F727" i="11"/>
  <c r="F733" i="11"/>
  <c r="D731" i="11"/>
  <c r="G729" i="11"/>
  <c r="K729" i="11" s="1"/>
  <c r="E727" i="11"/>
  <c r="D727" i="11"/>
  <c r="C731" i="11"/>
  <c r="H731" i="11" s="1"/>
  <c r="F729" i="11"/>
  <c r="AA66" i="3"/>
  <c r="AX66" i="3" s="1"/>
  <c r="BC74" i="3"/>
  <c r="G74" i="3"/>
  <c r="G1128" i="11"/>
  <c r="K1128" i="11" s="1"/>
  <c r="C1127" i="11"/>
  <c r="H1127" i="11" s="1"/>
  <c r="D1128" i="11"/>
  <c r="D1126" i="11"/>
  <c r="D1122" i="11"/>
  <c r="D1118" i="11"/>
  <c r="F1127" i="11"/>
  <c r="D1124" i="11"/>
  <c r="F1121" i="11"/>
  <c r="E1127" i="11"/>
  <c r="C1124" i="11"/>
  <c r="H1124" i="11" s="1"/>
  <c r="E1121" i="11"/>
  <c r="G1118" i="11"/>
  <c r="D1129" i="11"/>
  <c r="D1127" i="11"/>
  <c r="E1125" i="11"/>
  <c r="G1120" i="11"/>
  <c r="K1120" i="11" s="1"/>
  <c r="C1129" i="11"/>
  <c r="H1129" i="11" s="1"/>
  <c r="D1125" i="11"/>
  <c r="F1120" i="11"/>
  <c r="C1125" i="11"/>
  <c r="H1125" i="11" s="1"/>
  <c r="G1123" i="11"/>
  <c r="K1123" i="11" s="1"/>
  <c r="E1120" i="11"/>
  <c r="F1123" i="11"/>
  <c r="D1120" i="11"/>
  <c r="E1123" i="11"/>
  <c r="C1120" i="11"/>
  <c r="H1120" i="11" s="1"/>
  <c r="F1118" i="11"/>
  <c r="D1123" i="11"/>
  <c r="E1118" i="11"/>
  <c r="F1128" i="11"/>
  <c r="C1123" i="11"/>
  <c r="H1123" i="11" s="1"/>
  <c r="C1118" i="11"/>
  <c r="H1118" i="11" s="1"/>
  <c r="E1128" i="11"/>
  <c r="G1126" i="11"/>
  <c r="K1126" i="11" s="1"/>
  <c r="G1121" i="11"/>
  <c r="K1121" i="11" s="1"/>
  <c r="C1128" i="11"/>
  <c r="H1128" i="11" s="1"/>
  <c r="F1126" i="11"/>
  <c r="D1121" i="11"/>
  <c r="E1126" i="11"/>
  <c r="G1124" i="11"/>
  <c r="K1124" i="11" s="1"/>
  <c r="C1121" i="11"/>
  <c r="H1121" i="11" s="1"/>
  <c r="G1119" i="11"/>
  <c r="C1126" i="11"/>
  <c r="H1126" i="11" s="1"/>
  <c r="F1124" i="11"/>
  <c r="F1119" i="11"/>
  <c r="E1124" i="11"/>
  <c r="E1119" i="11"/>
  <c r="G1122" i="11"/>
  <c r="K1122" i="11" s="1"/>
  <c r="D1119" i="11"/>
  <c r="G1129" i="11"/>
  <c r="K1129" i="11" s="1"/>
  <c r="F1122" i="11"/>
  <c r="C1119" i="11"/>
  <c r="H1119" i="11" s="1"/>
  <c r="F1129" i="11"/>
  <c r="G1125" i="11"/>
  <c r="K1125" i="11" s="1"/>
  <c r="E1122" i="11"/>
  <c r="E1129" i="11"/>
  <c r="G1127" i="11"/>
  <c r="K1127" i="11" s="1"/>
  <c r="F1125" i="11"/>
  <c r="C1122" i="11"/>
  <c r="H1122" i="11" s="1"/>
  <c r="BL97" i="3"/>
  <c r="BC29" i="3"/>
  <c r="BB29" i="3"/>
  <c r="C373" i="11"/>
  <c r="H373" i="11" s="1"/>
  <c r="G370" i="11"/>
  <c r="C369" i="11"/>
  <c r="H369" i="11" s="1"/>
  <c r="G366" i="11"/>
  <c r="K366" i="11" s="1"/>
  <c r="C365" i="11"/>
  <c r="H365" i="11" s="1"/>
  <c r="G362" i="11"/>
  <c r="K362" i="11" s="1"/>
  <c r="F370" i="11"/>
  <c r="F366" i="11"/>
  <c r="F362" i="11"/>
  <c r="E370" i="11"/>
  <c r="E366" i="11"/>
  <c r="E362" i="11"/>
  <c r="E373" i="11"/>
  <c r="E369" i="11"/>
  <c r="F372" i="11"/>
  <c r="G365" i="11"/>
  <c r="E372" i="11"/>
  <c r="F365" i="11"/>
  <c r="D372" i="11"/>
  <c r="D370" i="11"/>
  <c r="E365" i="11"/>
  <c r="G363" i="11"/>
  <c r="K363" i="11" s="1"/>
  <c r="C372" i="11"/>
  <c r="H372" i="11" s="1"/>
  <c r="C370" i="11"/>
  <c r="H370" i="11" s="1"/>
  <c r="G368" i="11"/>
  <c r="D365" i="11"/>
  <c r="F363" i="11"/>
  <c r="F368" i="11"/>
  <c r="E363" i="11"/>
  <c r="E368" i="11"/>
  <c r="D363" i="11"/>
  <c r="D368" i="11"/>
  <c r="C363" i="11"/>
  <c r="H363" i="11" s="1"/>
  <c r="G373" i="11"/>
  <c r="G371" i="11"/>
  <c r="K371" i="11" s="1"/>
  <c r="C368" i="11"/>
  <c r="H368" i="11" s="1"/>
  <c r="D366" i="11"/>
  <c r="F373" i="11"/>
  <c r="F371" i="11"/>
  <c r="C366" i="11"/>
  <c r="H366" i="11" s="1"/>
  <c r="D373" i="11"/>
  <c r="E371" i="11"/>
  <c r="G364" i="11"/>
  <c r="D371" i="11"/>
  <c r="F364" i="11"/>
  <c r="D367" i="11"/>
  <c r="D362" i="11"/>
  <c r="D364" i="11"/>
  <c r="C364" i="11"/>
  <c r="H364" i="11" s="1"/>
  <c r="G369" i="11"/>
  <c r="F369" i="11"/>
  <c r="D369" i="11"/>
  <c r="C362" i="11"/>
  <c r="H362" i="11" s="1"/>
  <c r="G367" i="11"/>
  <c r="K367" i="11" s="1"/>
  <c r="F367" i="11"/>
  <c r="E367" i="11"/>
  <c r="C367" i="11"/>
  <c r="H367" i="11" s="1"/>
  <c r="G372" i="11"/>
  <c r="C371" i="11"/>
  <c r="H371" i="11" s="1"/>
  <c r="E364" i="11"/>
  <c r="AS5" i="3"/>
  <c r="H21" i="2"/>
  <c r="L148" i="11"/>
  <c r="BC16" i="3"/>
  <c r="BC21" i="3"/>
  <c r="L263" i="11"/>
  <c r="L255" i="11"/>
  <c r="G25" i="3"/>
  <c r="E324" i="11"/>
  <c r="E320" i="11"/>
  <c r="E316" i="11"/>
  <c r="D324" i="11"/>
  <c r="D320" i="11"/>
  <c r="D316" i="11"/>
  <c r="G325" i="11"/>
  <c r="K325" i="11" s="1"/>
  <c r="C324" i="11"/>
  <c r="H324" i="11" s="1"/>
  <c r="G321" i="11"/>
  <c r="K321" i="11" s="1"/>
  <c r="C320" i="11"/>
  <c r="H320" i="11" s="1"/>
  <c r="G317" i="11"/>
  <c r="K317" i="11" s="1"/>
  <c r="C316" i="11"/>
  <c r="H316" i="11" s="1"/>
  <c r="F325" i="11"/>
  <c r="F321" i="11"/>
  <c r="F317" i="11"/>
  <c r="G324" i="11"/>
  <c r="K324" i="11" s="1"/>
  <c r="C323" i="11"/>
  <c r="H323" i="11" s="1"/>
  <c r="G320" i="11"/>
  <c r="K320" i="11" s="1"/>
  <c r="C319" i="11"/>
  <c r="H319" i="11" s="1"/>
  <c r="G316" i="11"/>
  <c r="K316" i="11" s="1"/>
  <c r="C315" i="11"/>
  <c r="H315" i="11" s="1"/>
  <c r="D325" i="11"/>
  <c r="G323" i="11"/>
  <c r="K323" i="11" s="1"/>
  <c r="E321" i="11"/>
  <c r="C325" i="11"/>
  <c r="H325" i="11" s="1"/>
  <c r="F323" i="11"/>
  <c r="D321" i="11"/>
  <c r="G319" i="11"/>
  <c r="K319" i="11" s="1"/>
  <c r="E317" i="11"/>
  <c r="E323" i="11"/>
  <c r="C321" i="11"/>
  <c r="H321" i="11" s="1"/>
  <c r="F319" i="11"/>
  <c r="D317" i="11"/>
  <c r="D323" i="11"/>
  <c r="E319" i="11"/>
  <c r="C317" i="11"/>
  <c r="H317" i="11" s="1"/>
  <c r="G315" i="11"/>
  <c r="K315" i="11" s="1"/>
  <c r="D319" i="11"/>
  <c r="F315" i="11"/>
  <c r="E315" i="11"/>
  <c r="D315" i="11"/>
  <c r="G322" i="11"/>
  <c r="F322" i="11"/>
  <c r="G318" i="11"/>
  <c r="F324" i="11"/>
  <c r="E322" i="11"/>
  <c r="F318" i="11"/>
  <c r="D322" i="11"/>
  <c r="F320" i="11"/>
  <c r="E318" i="11"/>
  <c r="C322" i="11"/>
  <c r="H322" i="11" s="1"/>
  <c r="D318" i="11"/>
  <c r="F316" i="11"/>
  <c r="G314" i="11"/>
  <c r="C318" i="11"/>
  <c r="H318" i="11" s="1"/>
  <c r="F314" i="11"/>
  <c r="E314" i="11"/>
  <c r="D314" i="11"/>
  <c r="E325" i="11"/>
  <c r="C314" i="11"/>
  <c r="H314" i="11" s="1"/>
  <c r="AT37" i="3"/>
  <c r="BD37" i="3" s="1"/>
  <c r="AM38" i="3"/>
  <c r="C433" i="11"/>
  <c r="H433" i="11" s="1"/>
  <c r="G430" i="11"/>
  <c r="K430" i="11" s="1"/>
  <c r="C429" i="11"/>
  <c r="H429" i="11" s="1"/>
  <c r="G426" i="11"/>
  <c r="K426" i="11" s="1"/>
  <c r="C425" i="11"/>
  <c r="H425" i="11" s="1"/>
  <c r="G422" i="11"/>
  <c r="K422" i="11" s="1"/>
  <c r="F430" i="11"/>
  <c r="F426" i="11"/>
  <c r="F422" i="11"/>
  <c r="E430" i="11"/>
  <c r="E426" i="11"/>
  <c r="E422" i="11"/>
  <c r="E433" i="11"/>
  <c r="E429" i="11"/>
  <c r="E425" i="11"/>
  <c r="F429" i="11"/>
  <c r="F427" i="11"/>
  <c r="D429" i="11"/>
  <c r="E427" i="11"/>
  <c r="D427" i="11"/>
  <c r="G432" i="11"/>
  <c r="C427" i="11"/>
  <c r="H427" i="11" s="1"/>
  <c r="G425" i="11"/>
  <c r="G423" i="11"/>
  <c r="K423" i="11" s="1"/>
  <c r="F432" i="11"/>
  <c r="F425" i="11"/>
  <c r="F423" i="11"/>
  <c r="E432" i="11"/>
  <c r="D425" i="11"/>
  <c r="E423" i="11"/>
  <c r="D432" i="11"/>
  <c r="D430" i="11"/>
  <c r="D423" i="11"/>
  <c r="C432" i="11"/>
  <c r="H432" i="11" s="1"/>
  <c r="C430" i="11"/>
  <c r="H430" i="11" s="1"/>
  <c r="G428" i="11"/>
  <c r="K428" i="11" s="1"/>
  <c r="C423" i="11"/>
  <c r="H423" i="11" s="1"/>
  <c r="F428" i="11"/>
  <c r="E428" i="11"/>
  <c r="D428" i="11"/>
  <c r="D426" i="11"/>
  <c r="G433" i="11"/>
  <c r="K433" i="11" s="1"/>
  <c r="G431" i="11"/>
  <c r="K431" i="11" s="1"/>
  <c r="C428" i="11"/>
  <c r="H428" i="11" s="1"/>
  <c r="C426" i="11"/>
  <c r="H426" i="11" s="1"/>
  <c r="G424" i="11"/>
  <c r="K424" i="11" s="1"/>
  <c r="F433" i="11"/>
  <c r="F431" i="11"/>
  <c r="F424" i="11"/>
  <c r="D433" i="11"/>
  <c r="E431" i="11"/>
  <c r="E424" i="11"/>
  <c r="D431" i="11"/>
  <c r="D424" i="11"/>
  <c r="D422" i="11"/>
  <c r="C431" i="11"/>
  <c r="H431" i="11" s="1"/>
  <c r="G429" i="11"/>
  <c r="K429" i="11" s="1"/>
  <c r="G427" i="11"/>
  <c r="C424" i="11"/>
  <c r="H424" i="11" s="1"/>
  <c r="C422" i="11"/>
  <c r="H422" i="11" s="1"/>
  <c r="BQ39" i="3"/>
  <c r="T39" i="3" s="1"/>
  <c r="BP39" i="3"/>
  <c r="X39" i="3" s="1"/>
  <c r="BO39" i="3"/>
  <c r="W39" i="3" s="1"/>
  <c r="BN39" i="3"/>
  <c r="V39" i="3" s="1"/>
  <c r="Y39" i="3" s="1"/>
  <c r="Z39" i="3" s="1"/>
  <c r="BM39" i="3"/>
  <c r="I39" i="3" s="1"/>
  <c r="BL39" i="3"/>
  <c r="BC42" i="3"/>
  <c r="BB45" i="3"/>
  <c r="F527" i="11"/>
  <c r="F523" i="11"/>
  <c r="F519" i="11"/>
  <c r="E527" i="11"/>
  <c r="E523" i="11"/>
  <c r="E519" i="11"/>
  <c r="D527" i="11"/>
  <c r="D523" i="11"/>
  <c r="D519" i="11"/>
  <c r="D526" i="11"/>
  <c r="D522" i="11"/>
  <c r="D518" i="11"/>
  <c r="C526" i="11"/>
  <c r="H526" i="11" s="1"/>
  <c r="D524" i="11"/>
  <c r="G529" i="11"/>
  <c r="C524" i="11"/>
  <c r="H524" i="11" s="1"/>
  <c r="G522" i="11"/>
  <c r="G520" i="11"/>
  <c r="F529" i="11"/>
  <c r="F522" i="11"/>
  <c r="F520" i="11"/>
  <c r="E529" i="11"/>
  <c r="E522" i="11"/>
  <c r="E520" i="11"/>
  <c r="D529" i="11"/>
  <c r="G527" i="11"/>
  <c r="C522" i="11"/>
  <c r="H522" i="11" s="1"/>
  <c r="D520" i="11"/>
  <c r="C529" i="11"/>
  <c r="H529" i="11" s="1"/>
  <c r="C527" i="11"/>
  <c r="H527" i="11" s="1"/>
  <c r="G525" i="11"/>
  <c r="C520" i="11"/>
  <c r="H520" i="11" s="1"/>
  <c r="G518" i="11"/>
  <c r="F525" i="11"/>
  <c r="F518" i="11"/>
  <c r="E525" i="11"/>
  <c r="E518" i="11"/>
  <c r="D525" i="11"/>
  <c r="G523" i="11"/>
  <c r="K523" i="11" s="1"/>
  <c r="C518" i="11"/>
  <c r="H518" i="11" s="1"/>
  <c r="G528" i="11"/>
  <c r="C525" i="11"/>
  <c r="H525" i="11" s="1"/>
  <c r="C523" i="11"/>
  <c r="H523" i="11" s="1"/>
  <c r="G521" i="11"/>
  <c r="F528" i="11"/>
  <c r="F521" i="11"/>
  <c r="E528" i="11"/>
  <c r="E521" i="11"/>
  <c r="D528" i="11"/>
  <c r="D521" i="11"/>
  <c r="G519" i="11"/>
  <c r="C528" i="11"/>
  <c r="H528" i="11" s="1"/>
  <c r="G526" i="11"/>
  <c r="G524" i="11"/>
  <c r="K524" i="11" s="1"/>
  <c r="C521" i="11"/>
  <c r="H521" i="11" s="1"/>
  <c r="C519" i="11"/>
  <c r="H519" i="11" s="1"/>
  <c r="F526" i="11"/>
  <c r="F524" i="11"/>
  <c r="E526" i="11"/>
  <c r="E524" i="11"/>
  <c r="AA51" i="3"/>
  <c r="AX51" i="3" s="1"/>
  <c r="BC57" i="3"/>
  <c r="AV60" i="3"/>
  <c r="G67" i="3"/>
  <c r="BC67" i="3"/>
  <c r="BB67" i="3"/>
  <c r="D901" i="11"/>
  <c r="D897" i="11"/>
  <c r="D893" i="11"/>
  <c r="C901" i="11"/>
  <c r="H901" i="11" s="1"/>
  <c r="G898" i="11"/>
  <c r="K898" i="11" s="1"/>
  <c r="C897" i="11"/>
  <c r="H897" i="11" s="1"/>
  <c r="G894" i="11"/>
  <c r="K894" i="11" s="1"/>
  <c r="C893" i="11"/>
  <c r="H893" i="11" s="1"/>
  <c r="G890" i="11"/>
  <c r="K890" i="11" s="1"/>
  <c r="E901" i="11"/>
  <c r="E897" i="11"/>
  <c r="G899" i="11"/>
  <c r="K899" i="11" s="1"/>
  <c r="E896" i="11"/>
  <c r="E893" i="11"/>
  <c r="C890" i="11"/>
  <c r="H890" i="11" s="1"/>
  <c r="F899" i="11"/>
  <c r="D896" i="11"/>
  <c r="E899" i="11"/>
  <c r="C896" i="11"/>
  <c r="H896" i="11" s="1"/>
  <c r="G891" i="11"/>
  <c r="K891" i="11" s="1"/>
  <c r="D899" i="11"/>
  <c r="F894" i="11"/>
  <c r="F891" i="11"/>
  <c r="C899" i="11"/>
  <c r="H899" i="11" s="1"/>
  <c r="E894" i="11"/>
  <c r="E891" i="11"/>
  <c r="G897" i="11"/>
  <c r="K897" i="11" s="1"/>
  <c r="D894" i="11"/>
  <c r="D891" i="11"/>
  <c r="F897" i="11"/>
  <c r="C894" i="11"/>
  <c r="H894" i="11" s="1"/>
  <c r="C891" i="11"/>
  <c r="H891" i="11" s="1"/>
  <c r="G900" i="11"/>
  <c r="K900" i="11" s="1"/>
  <c r="F900" i="11"/>
  <c r="G895" i="11"/>
  <c r="K895" i="11" s="1"/>
  <c r="G892" i="11"/>
  <c r="K892" i="11" s="1"/>
  <c r="E900" i="11"/>
  <c r="F895" i="11"/>
  <c r="F892" i="11"/>
  <c r="D900" i="11"/>
  <c r="F898" i="11"/>
  <c r="E895" i="11"/>
  <c r="E892" i="11"/>
  <c r="C900" i="11"/>
  <c r="H900" i="11" s="1"/>
  <c r="E898" i="11"/>
  <c r="D898" i="11"/>
  <c r="C898" i="11"/>
  <c r="H898" i="11" s="1"/>
  <c r="F890" i="11"/>
  <c r="G901" i="11"/>
  <c r="G896" i="11"/>
  <c r="G893" i="11"/>
  <c r="E890" i="11"/>
  <c r="F901" i="11"/>
  <c r="F896" i="11"/>
  <c r="F893" i="11"/>
  <c r="D890" i="11"/>
  <c r="D895" i="11"/>
  <c r="C895" i="11"/>
  <c r="H895" i="11" s="1"/>
  <c r="D892" i="11"/>
  <c r="C892" i="11"/>
  <c r="H892" i="11" s="1"/>
  <c r="BM78" i="3"/>
  <c r="I78" i="3" s="1"/>
  <c r="BC86" i="3"/>
  <c r="BB86" i="3"/>
  <c r="G86" i="3"/>
  <c r="AA13" i="3"/>
  <c r="AX13" i="3" s="1"/>
  <c r="G21" i="3"/>
  <c r="BL38" i="3"/>
  <c r="BC45" i="3"/>
  <c r="G53" i="3"/>
  <c r="BB53" i="3"/>
  <c r="BK64" i="3"/>
  <c r="BC70" i="3"/>
  <c r="BB70" i="3"/>
  <c r="G70" i="3"/>
  <c r="G72" i="3"/>
  <c r="BC72" i="3"/>
  <c r="D1199" i="11"/>
  <c r="D1195" i="11"/>
  <c r="D1191" i="11"/>
  <c r="G1200" i="11"/>
  <c r="K1200" i="11" s="1"/>
  <c r="C1199" i="11"/>
  <c r="H1199" i="11" s="1"/>
  <c r="G1196" i="11"/>
  <c r="C1195" i="11"/>
  <c r="H1195" i="11" s="1"/>
  <c r="G1192" i="11"/>
  <c r="K1192" i="11" s="1"/>
  <c r="C1191" i="11"/>
  <c r="H1191" i="11" s="1"/>
  <c r="E1200" i="11"/>
  <c r="E1196" i="11"/>
  <c r="E1192" i="11"/>
  <c r="D1200" i="11"/>
  <c r="D1196" i="11"/>
  <c r="D1192" i="11"/>
  <c r="G1201" i="11"/>
  <c r="K1201" i="11" s="1"/>
  <c r="F1201" i="11"/>
  <c r="F1197" i="11"/>
  <c r="F1193" i="11"/>
  <c r="E1201" i="11"/>
  <c r="E1197" i="11"/>
  <c r="E1193" i="11"/>
  <c r="D1201" i="11"/>
  <c r="C1201" i="11"/>
  <c r="H1201" i="11" s="1"/>
  <c r="G1198" i="11"/>
  <c r="C1197" i="11"/>
  <c r="H1197" i="11" s="1"/>
  <c r="G1194" i="11"/>
  <c r="C1193" i="11"/>
  <c r="H1193" i="11" s="1"/>
  <c r="G1190" i="11"/>
  <c r="K1190" i="11" s="1"/>
  <c r="F1198" i="11"/>
  <c r="F1194" i="11"/>
  <c r="F1190" i="11"/>
  <c r="D1198" i="11"/>
  <c r="D1194" i="11"/>
  <c r="D1190" i="11"/>
  <c r="G1191" i="11"/>
  <c r="K1191" i="11" s="1"/>
  <c r="C1198" i="11"/>
  <c r="H1198" i="11" s="1"/>
  <c r="E1195" i="11"/>
  <c r="C1192" i="11"/>
  <c r="H1192" i="11" s="1"/>
  <c r="F1200" i="11"/>
  <c r="C1200" i="11"/>
  <c r="H1200" i="11" s="1"/>
  <c r="F1196" i="11"/>
  <c r="F1192" i="11"/>
  <c r="C1196" i="11"/>
  <c r="H1196" i="11" s="1"/>
  <c r="F1191" i="11"/>
  <c r="G1199" i="11"/>
  <c r="K1199" i="11" s="1"/>
  <c r="G1195" i="11"/>
  <c r="K1195" i="11" s="1"/>
  <c r="E1191" i="11"/>
  <c r="F1199" i="11"/>
  <c r="F1195" i="11"/>
  <c r="E1199" i="11"/>
  <c r="E1194" i="11"/>
  <c r="C1194" i="11"/>
  <c r="H1194" i="11" s="1"/>
  <c r="E1190" i="11"/>
  <c r="E1198" i="11"/>
  <c r="C1190" i="11"/>
  <c r="H1190" i="11" s="1"/>
  <c r="G1197" i="11"/>
  <c r="D1197" i="11"/>
  <c r="G1193" i="11"/>
  <c r="D1193" i="11"/>
  <c r="L393" i="11"/>
  <c r="BB36" i="3"/>
  <c r="F539" i="11"/>
  <c r="F535" i="11"/>
  <c r="F531" i="11"/>
  <c r="E539" i="11"/>
  <c r="E535" i="11"/>
  <c r="E531" i="11"/>
  <c r="D539" i="11"/>
  <c r="D535" i="11"/>
  <c r="D531" i="11"/>
  <c r="D538" i="11"/>
  <c r="D534" i="11"/>
  <c r="D530" i="11"/>
  <c r="D540" i="11"/>
  <c r="D533" i="11"/>
  <c r="G531" i="11"/>
  <c r="C540" i="11"/>
  <c r="H540" i="11" s="1"/>
  <c r="G538" i="11"/>
  <c r="G536" i="11"/>
  <c r="C533" i="11"/>
  <c r="H533" i="11" s="1"/>
  <c r="C531" i="11"/>
  <c r="H531" i="11" s="1"/>
  <c r="F538" i="11"/>
  <c r="F536" i="11"/>
  <c r="E538" i="11"/>
  <c r="E536" i="11"/>
  <c r="C538" i="11"/>
  <c r="H538" i="11" s="1"/>
  <c r="D536" i="11"/>
  <c r="G541" i="11"/>
  <c r="C536" i="11"/>
  <c r="H536" i="11" s="1"/>
  <c r="G534" i="11"/>
  <c r="G532" i="11"/>
  <c r="F541" i="11"/>
  <c r="F534" i="11"/>
  <c r="F532" i="11"/>
  <c r="E541" i="11"/>
  <c r="E534" i="11"/>
  <c r="E532" i="11"/>
  <c r="D541" i="11"/>
  <c r="G539" i="11"/>
  <c r="C534" i="11"/>
  <c r="H534" i="11" s="1"/>
  <c r="D532" i="11"/>
  <c r="C541" i="11"/>
  <c r="H541" i="11" s="1"/>
  <c r="C539" i="11"/>
  <c r="H539" i="11" s="1"/>
  <c r="G537" i="11"/>
  <c r="C532" i="11"/>
  <c r="H532" i="11" s="1"/>
  <c r="G530" i="11"/>
  <c r="F537" i="11"/>
  <c r="F530" i="11"/>
  <c r="E537" i="11"/>
  <c r="E530" i="11"/>
  <c r="D537" i="11"/>
  <c r="G535" i="11"/>
  <c r="C530" i="11"/>
  <c r="H530" i="11" s="1"/>
  <c r="G540" i="11"/>
  <c r="C537" i="11"/>
  <c r="H537" i="11" s="1"/>
  <c r="C535" i="11"/>
  <c r="H535" i="11" s="1"/>
  <c r="G533" i="11"/>
  <c r="F540" i="11"/>
  <c r="F533" i="11"/>
  <c r="E540" i="11"/>
  <c r="E533" i="11"/>
  <c r="BC59" i="3"/>
  <c r="BB59" i="3"/>
  <c r="G66" i="3"/>
  <c r="E780" i="11"/>
  <c r="E776" i="11"/>
  <c r="E772" i="11"/>
  <c r="D780" i="11"/>
  <c r="D776" i="11"/>
  <c r="D772" i="11"/>
  <c r="G781" i="11"/>
  <c r="G778" i="11"/>
  <c r="G775" i="11"/>
  <c r="G772" i="11"/>
  <c r="F781" i="11"/>
  <c r="F778" i="11"/>
  <c r="F775" i="11"/>
  <c r="F772" i="11"/>
  <c r="E781" i="11"/>
  <c r="E778" i="11"/>
  <c r="E775" i="11"/>
  <c r="C772" i="11"/>
  <c r="H772" i="11" s="1"/>
  <c r="D781" i="11"/>
  <c r="D778" i="11"/>
  <c r="D775" i="11"/>
  <c r="C781" i="11"/>
  <c r="H781" i="11" s="1"/>
  <c r="C778" i="11"/>
  <c r="H778" i="11" s="1"/>
  <c r="C775" i="11"/>
  <c r="H775" i="11" s="1"/>
  <c r="G773" i="11"/>
  <c r="G770" i="11"/>
  <c r="F773" i="11"/>
  <c r="F770" i="11"/>
  <c r="G779" i="11"/>
  <c r="G776" i="11"/>
  <c r="E773" i="11"/>
  <c r="E770" i="11"/>
  <c r="F779" i="11"/>
  <c r="F776" i="11"/>
  <c r="D773" i="11"/>
  <c r="D770" i="11"/>
  <c r="E779" i="11"/>
  <c r="C776" i="11"/>
  <c r="H776" i="11" s="1"/>
  <c r="D779" i="11"/>
  <c r="C779" i="11"/>
  <c r="H779" i="11" s="1"/>
  <c r="G777" i="11"/>
  <c r="G774" i="11"/>
  <c r="G771" i="11"/>
  <c r="F780" i="11"/>
  <c r="D777" i="11"/>
  <c r="D774" i="11"/>
  <c r="D771" i="11"/>
  <c r="C780" i="11"/>
  <c r="H780" i="11" s="1"/>
  <c r="C777" i="11"/>
  <c r="H777" i="11" s="1"/>
  <c r="C774" i="11"/>
  <c r="H774" i="11" s="1"/>
  <c r="C771" i="11"/>
  <c r="H771" i="11" s="1"/>
  <c r="F777" i="11"/>
  <c r="C770" i="11"/>
  <c r="H770" i="11" s="1"/>
  <c r="E777" i="11"/>
  <c r="F774" i="11"/>
  <c r="E774" i="11"/>
  <c r="C773" i="11"/>
  <c r="H773" i="11" s="1"/>
  <c r="G780" i="11"/>
  <c r="F771" i="11"/>
  <c r="E771" i="11"/>
  <c r="AS73" i="3"/>
  <c r="AA73" i="3"/>
  <c r="AX73" i="3" s="1"/>
  <c r="AT78" i="3"/>
  <c r="AV78" i="3"/>
  <c r="G84" i="3"/>
  <c r="D865" i="11"/>
  <c r="D861" i="11"/>
  <c r="D857" i="11"/>
  <c r="C865" i="11"/>
  <c r="H865" i="11" s="1"/>
  <c r="G862" i="11"/>
  <c r="C861" i="11"/>
  <c r="H861" i="11" s="1"/>
  <c r="G858" i="11"/>
  <c r="C857" i="11"/>
  <c r="H857" i="11" s="1"/>
  <c r="G854" i="11"/>
  <c r="E864" i="11"/>
  <c r="E861" i="11"/>
  <c r="C858" i="11"/>
  <c r="H858" i="11" s="1"/>
  <c r="C855" i="11"/>
  <c r="H855" i="11" s="1"/>
  <c r="D864" i="11"/>
  <c r="C864" i="11"/>
  <c r="H864" i="11" s="1"/>
  <c r="G859" i="11"/>
  <c r="G856" i="11"/>
  <c r="F862" i="11"/>
  <c r="F859" i="11"/>
  <c r="F856" i="11"/>
  <c r="F865" i="11"/>
  <c r="D862" i="11"/>
  <c r="D859" i="11"/>
  <c r="D856" i="11"/>
  <c r="E865" i="11"/>
  <c r="C862" i="11"/>
  <c r="H862" i="11" s="1"/>
  <c r="C859" i="11"/>
  <c r="H859" i="11" s="1"/>
  <c r="G864" i="11"/>
  <c r="G861" i="11"/>
  <c r="E858" i="11"/>
  <c r="E855" i="11"/>
  <c r="F864" i="11"/>
  <c r="F861" i="11"/>
  <c r="D858" i="11"/>
  <c r="D855" i="11"/>
  <c r="F863" i="11"/>
  <c r="F860" i="11"/>
  <c r="F857" i="11"/>
  <c r="F854" i="11"/>
  <c r="E863" i="11"/>
  <c r="E860" i="11"/>
  <c r="E857" i="11"/>
  <c r="E854" i="11"/>
  <c r="D863" i="11"/>
  <c r="D860" i="11"/>
  <c r="D854" i="11"/>
  <c r="C863" i="11"/>
  <c r="H863" i="11" s="1"/>
  <c r="C860" i="11"/>
  <c r="H860" i="11" s="1"/>
  <c r="C854" i="11"/>
  <c r="H854" i="11" s="1"/>
  <c r="G865" i="11"/>
  <c r="E862" i="11"/>
  <c r="E859" i="11"/>
  <c r="E856" i="11"/>
  <c r="C856" i="11"/>
  <c r="H856" i="11" s="1"/>
  <c r="F858" i="11"/>
  <c r="G855" i="11"/>
  <c r="F855" i="11"/>
  <c r="G863" i="11"/>
  <c r="G860" i="11"/>
  <c r="G857" i="11"/>
  <c r="D925" i="11"/>
  <c r="D921" i="11"/>
  <c r="D917" i="11"/>
  <c r="C925" i="11"/>
  <c r="H925" i="11" s="1"/>
  <c r="G922" i="11"/>
  <c r="C921" i="11"/>
  <c r="H921" i="11" s="1"/>
  <c r="G918" i="11"/>
  <c r="K918" i="11" s="1"/>
  <c r="C917" i="11"/>
  <c r="H917" i="11" s="1"/>
  <c r="G914" i="11"/>
  <c r="F925" i="11"/>
  <c r="F921" i="11"/>
  <c r="F917" i="11"/>
  <c r="E925" i="11"/>
  <c r="E921" i="11"/>
  <c r="E917" i="11"/>
  <c r="D924" i="11"/>
  <c r="D922" i="11"/>
  <c r="D915" i="11"/>
  <c r="C924" i="11"/>
  <c r="H924" i="11" s="1"/>
  <c r="C922" i="11"/>
  <c r="H922" i="11" s="1"/>
  <c r="G920" i="11"/>
  <c r="K920" i="11" s="1"/>
  <c r="C915" i="11"/>
  <c r="H915" i="11" s="1"/>
  <c r="F920" i="11"/>
  <c r="F918" i="11"/>
  <c r="E920" i="11"/>
  <c r="E918" i="11"/>
  <c r="D920" i="11"/>
  <c r="D918" i="11"/>
  <c r="G925" i="11"/>
  <c r="G923" i="11"/>
  <c r="K923" i="11" s="1"/>
  <c r="C920" i="11"/>
  <c r="H920" i="11" s="1"/>
  <c r="C918" i="11"/>
  <c r="H918" i="11" s="1"/>
  <c r="G916" i="11"/>
  <c r="F923" i="11"/>
  <c r="F916" i="11"/>
  <c r="F914" i="11"/>
  <c r="E923" i="11"/>
  <c r="E916" i="11"/>
  <c r="E914" i="11"/>
  <c r="D923" i="11"/>
  <c r="D916" i="11"/>
  <c r="D914" i="11"/>
  <c r="C923" i="11"/>
  <c r="H923" i="11" s="1"/>
  <c r="G921" i="11"/>
  <c r="G919" i="11"/>
  <c r="K919" i="11" s="1"/>
  <c r="C916" i="11"/>
  <c r="H916" i="11" s="1"/>
  <c r="C914" i="11"/>
  <c r="H914" i="11" s="1"/>
  <c r="F919" i="11"/>
  <c r="E919" i="11"/>
  <c r="D919" i="11"/>
  <c r="G924" i="11"/>
  <c r="C919" i="11"/>
  <c r="H919" i="11" s="1"/>
  <c r="G917" i="11"/>
  <c r="G915" i="11"/>
  <c r="K915" i="11" s="1"/>
  <c r="F924" i="11"/>
  <c r="F922" i="11"/>
  <c r="F915" i="11"/>
  <c r="E924" i="11"/>
  <c r="E922" i="11"/>
  <c r="E915" i="11"/>
  <c r="AT90" i="3"/>
  <c r="B34" i="5"/>
  <c r="B35" i="5" s="1"/>
  <c r="B36" i="5" s="1"/>
  <c r="B28" i="5"/>
  <c r="B30" i="5" s="1"/>
  <c r="B31" i="5" s="1"/>
  <c r="B32" i="5" s="1"/>
  <c r="G82" i="3"/>
  <c r="E971" i="11"/>
  <c r="E967" i="11"/>
  <c r="E963" i="11"/>
  <c r="D971" i="11"/>
  <c r="D967" i="11"/>
  <c r="D963" i="11"/>
  <c r="F972" i="11"/>
  <c r="F969" i="11"/>
  <c r="F966" i="11"/>
  <c r="F963" i="11"/>
  <c r="E972" i="11"/>
  <c r="E969" i="11"/>
  <c r="E966" i="11"/>
  <c r="C963" i="11"/>
  <c r="H963" i="11" s="1"/>
  <c r="D972" i="11"/>
  <c r="D969" i="11"/>
  <c r="D966" i="11"/>
  <c r="C972" i="11"/>
  <c r="H972" i="11" s="1"/>
  <c r="C969" i="11"/>
  <c r="H969" i="11" s="1"/>
  <c r="C966" i="11"/>
  <c r="H966" i="11" s="1"/>
  <c r="G964" i="11"/>
  <c r="K964" i="11" s="1"/>
  <c r="G973" i="11"/>
  <c r="K973" i="11" s="1"/>
  <c r="G970" i="11"/>
  <c r="K970" i="11" s="1"/>
  <c r="G967" i="11"/>
  <c r="K967" i="11" s="1"/>
  <c r="E964" i="11"/>
  <c r="F973" i="11"/>
  <c r="F970" i="11"/>
  <c r="F967" i="11"/>
  <c r="D964" i="11"/>
  <c r="E973" i="11"/>
  <c r="E970" i="11"/>
  <c r="C971" i="11"/>
  <c r="H971" i="11" s="1"/>
  <c r="G972" i="11"/>
  <c r="K972" i="11" s="1"/>
  <c r="G969" i="11"/>
  <c r="K969" i="11" s="1"/>
  <c r="G966" i="11"/>
  <c r="K966" i="11" s="1"/>
  <c r="G963" i="11"/>
  <c r="K963" i="11" s="1"/>
  <c r="D973" i="11"/>
  <c r="C973" i="11"/>
  <c r="H973" i="11" s="1"/>
  <c r="G968" i="11"/>
  <c r="K968" i="11" s="1"/>
  <c r="G965" i="11"/>
  <c r="K965" i="11" s="1"/>
  <c r="G962" i="11"/>
  <c r="K962" i="11" s="1"/>
  <c r="F968" i="11"/>
  <c r="F965" i="11"/>
  <c r="F962" i="11"/>
  <c r="E968" i="11"/>
  <c r="E965" i="11"/>
  <c r="E962" i="11"/>
  <c r="D968" i="11"/>
  <c r="D965" i="11"/>
  <c r="D962" i="11"/>
  <c r="C968" i="11"/>
  <c r="H968" i="11" s="1"/>
  <c r="C965" i="11"/>
  <c r="H965" i="11" s="1"/>
  <c r="C962" i="11"/>
  <c r="H962" i="11" s="1"/>
  <c r="G971" i="11"/>
  <c r="K971" i="11" s="1"/>
  <c r="F964" i="11"/>
  <c r="F971" i="11"/>
  <c r="C967" i="11"/>
  <c r="H967" i="11" s="1"/>
  <c r="C964" i="11"/>
  <c r="H964" i="11" s="1"/>
  <c r="D970" i="11"/>
  <c r="C970" i="11"/>
  <c r="H970" i="11" s="1"/>
  <c r="AS89" i="3"/>
  <c r="AA89" i="3"/>
  <c r="AX89" i="3" s="1"/>
  <c r="AA100" i="3"/>
  <c r="AX100" i="3" s="1"/>
  <c r="AA84" i="3"/>
  <c r="AX84" i="3" s="1"/>
  <c r="AV90" i="3"/>
  <c r="BM94" i="3"/>
  <c r="I94" i="3" s="1"/>
  <c r="AV97" i="3"/>
  <c r="B27" i="5"/>
  <c r="L517" i="11"/>
  <c r="L515" i="11"/>
  <c r="BC54" i="3"/>
  <c r="BB54" i="3"/>
  <c r="C661" i="11"/>
  <c r="H661" i="11" s="1"/>
  <c r="G658" i="11"/>
  <c r="K658" i="11" s="1"/>
  <c r="C657" i="11"/>
  <c r="H657" i="11" s="1"/>
  <c r="G654" i="11"/>
  <c r="C653" i="11"/>
  <c r="H653" i="11" s="1"/>
  <c r="G650" i="11"/>
  <c r="F658" i="11"/>
  <c r="F654" i="11"/>
  <c r="F650" i="11"/>
  <c r="C660" i="11"/>
  <c r="H660" i="11" s="1"/>
  <c r="G655" i="11"/>
  <c r="K655" i="11" s="1"/>
  <c r="G652" i="11"/>
  <c r="K652" i="11" s="1"/>
  <c r="F655" i="11"/>
  <c r="F652" i="11"/>
  <c r="G661" i="11"/>
  <c r="K661" i="11" s="1"/>
  <c r="E658" i="11"/>
  <c r="E655" i="11"/>
  <c r="F661" i="11"/>
  <c r="F651" i="11"/>
  <c r="E660" i="11"/>
  <c r="E657" i="11"/>
  <c r="C654" i="11"/>
  <c r="H654" i="11" s="1"/>
  <c r="C651" i="11"/>
  <c r="H651" i="11" s="1"/>
  <c r="C655" i="11"/>
  <c r="H655" i="11" s="1"/>
  <c r="D653" i="11"/>
  <c r="G659" i="11"/>
  <c r="G657" i="11"/>
  <c r="K657" i="11" s="1"/>
  <c r="F659" i="11"/>
  <c r="F657" i="11"/>
  <c r="E659" i="11"/>
  <c r="D657" i="11"/>
  <c r="D659" i="11"/>
  <c r="E661" i="11"/>
  <c r="C659" i="11"/>
  <c r="H659" i="11" s="1"/>
  <c r="E652" i="11"/>
  <c r="E650" i="11"/>
  <c r="D661" i="11"/>
  <c r="D652" i="11"/>
  <c r="D650" i="11"/>
  <c r="G656" i="11"/>
  <c r="E654" i="11"/>
  <c r="C652" i="11"/>
  <c r="H652" i="11" s="1"/>
  <c r="C650" i="11"/>
  <c r="H650" i="11" s="1"/>
  <c r="F656" i="11"/>
  <c r="D654" i="11"/>
  <c r="D658" i="11"/>
  <c r="E656" i="11"/>
  <c r="C658" i="11"/>
  <c r="H658" i="11" s="1"/>
  <c r="D656" i="11"/>
  <c r="C656" i="11"/>
  <c r="H656" i="11" s="1"/>
  <c r="G660" i="11"/>
  <c r="F660" i="11"/>
  <c r="G653" i="11"/>
  <c r="G651" i="11"/>
  <c r="K651" i="11" s="1"/>
  <c r="D660" i="11"/>
  <c r="F653" i="11"/>
  <c r="E651" i="11"/>
  <c r="D655" i="11"/>
  <c r="E653" i="11"/>
  <c r="D651" i="11"/>
  <c r="AA64" i="3"/>
  <c r="AX64" i="3" s="1"/>
  <c r="BO94" i="3"/>
  <c r="W94" i="3" s="1"/>
  <c r="AT97" i="3"/>
  <c r="D1187" i="11"/>
  <c r="D1183" i="11"/>
  <c r="D1179" i="11"/>
  <c r="G1188" i="11"/>
  <c r="K1188" i="11" s="1"/>
  <c r="C1187" i="11"/>
  <c r="H1187" i="11" s="1"/>
  <c r="G1184" i="11"/>
  <c r="K1184" i="11" s="1"/>
  <c r="C1183" i="11"/>
  <c r="H1183" i="11" s="1"/>
  <c r="G1180" i="11"/>
  <c r="K1180" i="11" s="1"/>
  <c r="C1179" i="11"/>
  <c r="H1179" i="11" s="1"/>
  <c r="E1188" i="11"/>
  <c r="E1184" i="11"/>
  <c r="E1180" i="11"/>
  <c r="D1188" i="11"/>
  <c r="D1184" i="11"/>
  <c r="D1180" i="11"/>
  <c r="F1189" i="11"/>
  <c r="F1185" i="11"/>
  <c r="F1181" i="11"/>
  <c r="E1189" i="11"/>
  <c r="E1185" i="11"/>
  <c r="E1181" i="11"/>
  <c r="C1189" i="11"/>
  <c r="H1189" i="11" s="1"/>
  <c r="G1186" i="11"/>
  <c r="K1186" i="11" s="1"/>
  <c r="C1185" i="11"/>
  <c r="H1185" i="11" s="1"/>
  <c r="G1182" i="11"/>
  <c r="K1182" i="11" s="1"/>
  <c r="C1181" i="11"/>
  <c r="H1181" i="11" s="1"/>
  <c r="G1178" i="11"/>
  <c r="K1178" i="11" s="1"/>
  <c r="F1186" i="11"/>
  <c r="F1182" i="11"/>
  <c r="F1178" i="11"/>
  <c r="D1186" i="11"/>
  <c r="D1182" i="11"/>
  <c r="D1178" i="11"/>
  <c r="G1179" i="11"/>
  <c r="K1179" i="11" s="1"/>
  <c r="G1185" i="11"/>
  <c r="K1185" i="11" s="1"/>
  <c r="E1182" i="11"/>
  <c r="F1179" i="11"/>
  <c r="F1188" i="11"/>
  <c r="C1188" i="11"/>
  <c r="H1188" i="11" s="1"/>
  <c r="F1184" i="11"/>
  <c r="F1180" i="11"/>
  <c r="C1184" i="11"/>
  <c r="H1184" i="11" s="1"/>
  <c r="C1180" i="11"/>
  <c r="H1180" i="11" s="1"/>
  <c r="G1187" i="11"/>
  <c r="K1187" i="11" s="1"/>
  <c r="G1183" i="11"/>
  <c r="K1183" i="11" s="1"/>
  <c r="E1179" i="11"/>
  <c r="F1187" i="11"/>
  <c r="F1183" i="11"/>
  <c r="E1187" i="11"/>
  <c r="E1183" i="11"/>
  <c r="C1182" i="11"/>
  <c r="H1182" i="11" s="1"/>
  <c r="E1178" i="11"/>
  <c r="E1186" i="11"/>
  <c r="C1178" i="11"/>
  <c r="H1178" i="11" s="1"/>
  <c r="C1186" i="11"/>
  <c r="H1186" i="11" s="1"/>
  <c r="D1185" i="11"/>
  <c r="G1181" i="11"/>
  <c r="K1181" i="11" s="1"/>
  <c r="G1189" i="11"/>
  <c r="K1189" i="11" s="1"/>
  <c r="D1181" i="11"/>
  <c r="D1189" i="11"/>
  <c r="BQ102" i="3"/>
  <c r="T102" i="3" s="1"/>
  <c r="AL102" i="3" s="1"/>
  <c r="BP102" i="3"/>
  <c r="X102" i="3" s="1"/>
  <c r="BO102" i="3"/>
  <c r="W102" i="3" s="1"/>
  <c r="BN102" i="3"/>
  <c r="V102" i="3" s="1"/>
  <c r="Y102" i="3" s="1"/>
  <c r="Z102" i="3" s="1"/>
  <c r="BL102" i="3"/>
  <c r="AS57" i="3"/>
  <c r="AA57" i="3"/>
  <c r="AX57" i="3" s="1"/>
  <c r="C649" i="11"/>
  <c r="H649" i="11" s="1"/>
  <c r="G646" i="11"/>
  <c r="K646" i="11" s="1"/>
  <c r="C645" i="11"/>
  <c r="H645" i="11" s="1"/>
  <c r="G642" i="11"/>
  <c r="K642" i="11" s="1"/>
  <c r="C641" i="11"/>
  <c r="H641" i="11" s="1"/>
  <c r="G638" i="11"/>
  <c r="K638" i="11" s="1"/>
  <c r="F646" i="11"/>
  <c r="F642" i="11"/>
  <c r="F638" i="11"/>
  <c r="G649" i="11"/>
  <c r="K649" i="11" s="1"/>
  <c r="E646" i="11"/>
  <c r="E643" i="11"/>
  <c r="E640" i="11"/>
  <c r="F649" i="11"/>
  <c r="D646" i="11"/>
  <c r="D643" i="11"/>
  <c r="D640" i="11"/>
  <c r="F648" i="11"/>
  <c r="F645" i="11"/>
  <c r="D642" i="11"/>
  <c r="D639" i="11"/>
  <c r="C647" i="11"/>
  <c r="H647" i="11" s="1"/>
  <c r="E645" i="11"/>
  <c r="F643" i="11"/>
  <c r="G641" i="11"/>
  <c r="K641" i="11" s="1"/>
  <c r="D645" i="11"/>
  <c r="C643" i="11"/>
  <c r="H643" i="11" s="1"/>
  <c r="F641" i="11"/>
  <c r="G639" i="11"/>
  <c r="K639" i="11" s="1"/>
  <c r="E641" i="11"/>
  <c r="F639" i="11"/>
  <c r="D641" i="11"/>
  <c r="E639" i="11"/>
  <c r="C639" i="11"/>
  <c r="H639" i="11" s="1"/>
  <c r="G648" i="11"/>
  <c r="K648" i="11" s="1"/>
  <c r="E648" i="11"/>
  <c r="G644" i="11"/>
  <c r="K644" i="11" s="1"/>
  <c r="D648" i="11"/>
  <c r="C646" i="11"/>
  <c r="H646" i="11" s="1"/>
  <c r="F644" i="11"/>
  <c r="C648" i="11"/>
  <c r="H648" i="11" s="1"/>
  <c r="E644" i="11"/>
  <c r="D644" i="11"/>
  <c r="E642" i="11"/>
  <c r="G640" i="11"/>
  <c r="K640" i="11" s="1"/>
  <c r="C644" i="11"/>
  <c r="H644" i="11" s="1"/>
  <c r="C642" i="11"/>
  <c r="H642" i="11" s="1"/>
  <c r="F640" i="11"/>
  <c r="E638" i="11"/>
  <c r="C640" i="11"/>
  <c r="H640" i="11" s="1"/>
  <c r="D638" i="11"/>
  <c r="G647" i="11"/>
  <c r="K647" i="11" s="1"/>
  <c r="C638" i="11"/>
  <c r="H638" i="11" s="1"/>
  <c r="E649" i="11"/>
  <c r="F647" i="11"/>
  <c r="D649" i="11"/>
  <c r="E647" i="11"/>
  <c r="D647" i="11"/>
  <c r="G645" i="11"/>
  <c r="K645" i="11" s="1"/>
  <c r="G643" i="11"/>
  <c r="K643" i="11" s="1"/>
  <c r="AV85" i="3"/>
  <c r="BD85" i="3" s="1"/>
  <c r="BC91" i="3"/>
  <c r="BB91" i="3"/>
  <c r="AV93" i="3"/>
  <c r="AT93" i="3"/>
  <c r="E995" i="11"/>
  <c r="E991" i="11"/>
  <c r="E987" i="11"/>
  <c r="D995" i="11"/>
  <c r="D991" i="11"/>
  <c r="D987" i="11"/>
  <c r="F995" i="11"/>
  <c r="D992" i="11"/>
  <c r="D989" i="11"/>
  <c r="D986" i="11"/>
  <c r="C995" i="11"/>
  <c r="H995" i="11" s="1"/>
  <c r="C992" i="11"/>
  <c r="H992" i="11" s="1"/>
  <c r="C989" i="11"/>
  <c r="H989" i="11" s="1"/>
  <c r="C986" i="11"/>
  <c r="H986" i="11" s="1"/>
  <c r="G996" i="11"/>
  <c r="K996" i="11" s="1"/>
  <c r="G993" i="11"/>
  <c r="K993" i="11" s="1"/>
  <c r="G990" i="11"/>
  <c r="G987" i="11"/>
  <c r="F996" i="11"/>
  <c r="F993" i="11"/>
  <c r="F990" i="11"/>
  <c r="F987" i="11"/>
  <c r="E996" i="11"/>
  <c r="E993" i="11"/>
  <c r="E990" i="11"/>
  <c r="C987" i="11"/>
  <c r="H987" i="11" s="1"/>
  <c r="D996" i="11"/>
  <c r="D993" i="11"/>
  <c r="D990" i="11"/>
  <c r="C996" i="11"/>
  <c r="H996" i="11" s="1"/>
  <c r="C993" i="11"/>
  <c r="H993" i="11" s="1"/>
  <c r="C990" i="11"/>
  <c r="H990" i="11" s="1"/>
  <c r="G988" i="11"/>
  <c r="K988" i="11" s="1"/>
  <c r="F988" i="11"/>
  <c r="G997" i="11"/>
  <c r="K997" i="11" s="1"/>
  <c r="G994" i="11"/>
  <c r="K994" i="11" s="1"/>
  <c r="G991" i="11"/>
  <c r="K991" i="11" s="1"/>
  <c r="E988" i="11"/>
  <c r="F997" i="11"/>
  <c r="F994" i="11"/>
  <c r="F991" i="11"/>
  <c r="D988" i="11"/>
  <c r="C997" i="11"/>
  <c r="H997" i="11" s="1"/>
  <c r="C994" i="11"/>
  <c r="H994" i="11" s="1"/>
  <c r="G992" i="11"/>
  <c r="K992" i="11" s="1"/>
  <c r="G989" i="11"/>
  <c r="K989" i="11" s="1"/>
  <c r="G986" i="11"/>
  <c r="K986" i="11" s="1"/>
  <c r="F992" i="11"/>
  <c r="F989" i="11"/>
  <c r="F986" i="11"/>
  <c r="G995" i="11"/>
  <c r="K995" i="11" s="1"/>
  <c r="E992" i="11"/>
  <c r="E989" i="11"/>
  <c r="E986" i="11"/>
  <c r="E997" i="11"/>
  <c r="D997" i="11"/>
  <c r="E994" i="11"/>
  <c r="D994" i="11"/>
  <c r="C991" i="11"/>
  <c r="H991" i="11" s="1"/>
  <c r="C988" i="11"/>
  <c r="H988" i="11" s="1"/>
  <c r="BC99" i="3"/>
  <c r="G99" i="3"/>
  <c r="BB99" i="3"/>
  <c r="BC62" i="3"/>
  <c r="L903" i="11"/>
  <c r="AM79" i="3"/>
  <c r="AA80" i="3"/>
  <c r="AX80" i="3" s="1"/>
  <c r="D937" i="11"/>
  <c r="D933" i="11"/>
  <c r="D929" i="11"/>
  <c r="C937" i="11"/>
  <c r="H937" i="11" s="1"/>
  <c r="G934" i="11"/>
  <c r="K934" i="11" s="1"/>
  <c r="C933" i="11"/>
  <c r="H933" i="11" s="1"/>
  <c r="G930" i="11"/>
  <c r="K930" i="11" s="1"/>
  <c r="C929" i="11"/>
  <c r="H929" i="11" s="1"/>
  <c r="G926" i="11"/>
  <c r="K926" i="11" s="1"/>
  <c r="F937" i="11"/>
  <c r="F933" i="11"/>
  <c r="F929" i="11"/>
  <c r="E937" i="11"/>
  <c r="E933" i="11"/>
  <c r="E929" i="11"/>
  <c r="D931" i="11"/>
  <c r="G936" i="11"/>
  <c r="K936" i="11" s="1"/>
  <c r="C931" i="11"/>
  <c r="H931" i="11" s="1"/>
  <c r="G929" i="11"/>
  <c r="K929" i="11" s="1"/>
  <c r="G927" i="11"/>
  <c r="K927" i="11" s="1"/>
  <c r="F936" i="11"/>
  <c r="F934" i="11"/>
  <c r="F927" i="11"/>
  <c r="E936" i="11"/>
  <c r="E934" i="11"/>
  <c r="E927" i="11"/>
  <c r="D936" i="11"/>
  <c r="D934" i="11"/>
  <c r="D927" i="11"/>
  <c r="C936" i="11"/>
  <c r="H936" i="11" s="1"/>
  <c r="C934" i="11"/>
  <c r="H934" i="11" s="1"/>
  <c r="G932" i="11"/>
  <c r="K932" i="11" s="1"/>
  <c r="C927" i="11"/>
  <c r="H927" i="11" s="1"/>
  <c r="F932" i="11"/>
  <c r="F930" i="11"/>
  <c r="E932" i="11"/>
  <c r="E930" i="11"/>
  <c r="D932" i="11"/>
  <c r="D930" i="11"/>
  <c r="G935" i="11"/>
  <c r="K935" i="11" s="1"/>
  <c r="C932" i="11"/>
  <c r="H932" i="11" s="1"/>
  <c r="C930" i="11"/>
  <c r="H930" i="11" s="1"/>
  <c r="G928" i="11"/>
  <c r="K928" i="11" s="1"/>
  <c r="G937" i="11"/>
  <c r="K937" i="11" s="1"/>
  <c r="F935" i="11"/>
  <c r="F928" i="11"/>
  <c r="F926" i="11"/>
  <c r="E935" i="11"/>
  <c r="E928" i="11"/>
  <c r="E926" i="11"/>
  <c r="D935" i="11"/>
  <c r="D928" i="11"/>
  <c r="D926" i="11"/>
  <c r="C935" i="11"/>
  <c r="H935" i="11" s="1"/>
  <c r="G933" i="11"/>
  <c r="K933" i="11" s="1"/>
  <c r="G931" i="11"/>
  <c r="K931" i="11" s="1"/>
  <c r="C928" i="11"/>
  <c r="H928" i="11" s="1"/>
  <c r="C926" i="11"/>
  <c r="H926" i="11" s="1"/>
  <c r="F931" i="11"/>
  <c r="E931" i="11"/>
  <c r="E959" i="11"/>
  <c r="E955" i="11"/>
  <c r="E951" i="11"/>
  <c r="D959" i="11"/>
  <c r="D955" i="11"/>
  <c r="D951" i="11"/>
  <c r="D960" i="11"/>
  <c r="D957" i="11"/>
  <c r="D954" i="11"/>
  <c r="C960" i="11"/>
  <c r="H960" i="11" s="1"/>
  <c r="C957" i="11"/>
  <c r="H957" i="11" s="1"/>
  <c r="C954" i="11"/>
  <c r="H954" i="11" s="1"/>
  <c r="G952" i="11"/>
  <c r="F952" i="11"/>
  <c r="G961" i="11"/>
  <c r="G958" i="11"/>
  <c r="G955" i="11"/>
  <c r="E952" i="11"/>
  <c r="E961" i="11"/>
  <c r="E958" i="11"/>
  <c r="C955" i="11"/>
  <c r="H955" i="11" s="1"/>
  <c r="C952" i="11"/>
  <c r="H952" i="11" s="1"/>
  <c r="D961" i="11"/>
  <c r="D958" i="11"/>
  <c r="F960" i="11"/>
  <c r="F957" i="11"/>
  <c r="F954" i="11"/>
  <c r="F951" i="11"/>
  <c r="E960" i="11"/>
  <c r="E957" i="11"/>
  <c r="E954" i="11"/>
  <c r="C951" i="11"/>
  <c r="H951" i="11" s="1"/>
  <c r="G960" i="11"/>
  <c r="G957" i="11"/>
  <c r="G954" i="11"/>
  <c r="G951" i="11"/>
  <c r="G956" i="11"/>
  <c r="G953" i="11"/>
  <c r="F956" i="11"/>
  <c r="F953" i="11"/>
  <c r="G950" i="11"/>
  <c r="G959" i="11"/>
  <c r="E956" i="11"/>
  <c r="E953" i="11"/>
  <c r="F950" i="11"/>
  <c r="F959" i="11"/>
  <c r="D956" i="11"/>
  <c r="D953" i="11"/>
  <c r="E950" i="11"/>
  <c r="C959" i="11"/>
  <c r="H959" i="11" s="1"/>
  <c r="C956" i="11"/>
  <c r="H956" i="11" s="1"/>
  <c r="C953" i="11"/>
  <c r="H953" i="11" s="1"/>
  <c r="D950" i="11"/>
  <c r="C950" i="11"/>
  <c r="H950" i="11" s="1"/>
  <c r="F961" i="11"/>
  <c r="F958" i="11"/>
  <c r="F955" i="11"/>
  <c r="D952" i="11"/>
  <c r="C961" i="11"/>
  <c r="H961" i="11" s="1"/>
  <c r="C958" i="11"/>
  <c r="H958" i="11" s="1"/>
  <c r="AS94" i="3"/>
  <c r="AA94" i="3"/>
  <c r="AX94" i="3" s="1"/>
  <c r="AS99" i="3"/>
  <c r="AA99" i="3"/>
  <c r="AX99" i="3" s="1"/>
  <c r="D1151" i="11"/>
  <c r="G1152" i="11"/>
  <c r="K1152" i="11" s="1"/>
  <c r="C1151" i="11"/>
  <c r="H1151" i="11" s="1"/>
  <c r="G1148" i="11"/>
  <c r="K1148" i="11" s="1"/>
  <c r="C1147" i="11"/>
  <c r="H1147" i="11" s="1"/>
  <c r="G1144" i="11"/>
  <c r="K1144" i="11" s="1"/>
  <c r="C1143" i="11"/>
  <c r="H1143" i="11" s="1"/>
  <c r="E1152" i="11"/>
  <c r="E1148" i="11"/>
  <c r="E1144" i="11"/>
  <c r="D1152" i="11"/>
  <c r="D1148" i="11"/>
  <c r="D1144" i="11"/>
  <c r="F1153" i="11"/>
  <c r="F1149" i="11"/>
  <c r="F1145" i="11"/>
  <c r="E1153" i="11"/>
  <c r="E1149" i="11"/>
  <c r="E1145" i="11"/>
  <c r="C1153" i="11"/>
  <c r="H1153" i="11" s="1"/>
  <c r="G1150" i="11"/>
  <c r="K1150" i="11" s="1"/>
  <c r="C1149" i="11"/>
  <c r="H1149" i="11" s="1"/>
  <c r="D1150" i="11"/>
  <c r="D1146" i="11"/>
  <c r="D1142" i="11"/>
  <c r="F1142" i="11"/>
  <c r="G1151" i="11"/>
  <c r="K1151" i="11" s="1"/>
  <c r="G1146" i="11"/>
  <c r="K1146" i="11" s="1"/>
  <c r="E1142" i="11"/>
  <c r="G1147" i="11"/>
  <c r="K1147" i="11" s="1"/>
  <c r="D1145" i="11"/>
  <c r="E1143" i="11"/>
  <c r="E1151" i="11"/>
  <c r="C1148" i="11"/>
  <c r="H1148" i="11" s="1"/>
  <c r="G1145" i="11"/>
  <c r="K1145" i="11" s="1"/>
  <c r="C1145" i="11"/>
  <c r="H1145" i="11" s="1"/>
  <c r="G1142" i="11"/>
  <c r="K1142" i="11" s="1"/>
  <c r="C1142" i="11"/>
  <c r="H1142" i="11" s="1"/>
  <c r="F1150" i="11"/>
  <c r="F1147" i="11"/>
  <c r="G1153" i="11"/>
  <c r="K1153" i="11" s="1"/>
  <c r="E1150" i="11"/>
  <c r="E1147" i="11"/>
  <c r="D1153" i="11"/>
  <c r="C1150" i="11"/>
  <c r="H1150" i="11" s="1"/>
  <c r="D1147" i="11"/>
  <c r="F1144" i="11"/>
  <c r="C1144" i="11"/>
  <c r="H1144" i="11" s="1"/>
  <c r="G1149" i="11"/>
  <c r="K1149" i="11" s="1"/>
  <c r="F1146" i="11"/>
  <c r="D1149" i="11"/>
  <c r="E1146" i="11"/>
  <c r="F1152" i="11"/>
  <c r="C1146" i="11"/>
  <c r="H1146" i="11" s="1"/>
  <c r="C1152" i="11"/>
  <c r="H1152" i="11" s="1"/>
  <c r="G1143" i="11"/>
  <c r="K1143" i="11" s="1"/>
  <c r="F1143" i="11"/>
  <c r="D1143" i="11"/>
  <c r="F1151" i="11"/>
  <c r="F1148" i="11"/>
  <c r="BM102" i="3"/>
  <c r="I102" i="3" s="1"/>
  <c r="F551" i="11"/>
  <c r="F547" i="11"/>
  <c r="F543" i="11"/>
  <c r="E551" i="11"/>
  <c r="E547" i="11"/>
  <c r="E543" i="11"/>
  <c r="D551" i="11"/>
  <c r="D547" i="11"/>
  <c r="D543" i="11"/>
  <c r="G552" i="11"/>
  <c r="K552" i="11" s="1"/>
  <c r="C551" i="11"/>
  <c r="H551" i="11" s="1"/>
  <c r="E552" i="11"/>
  <c r="D550" i="11"/>
  <c r="D546" i="11"/>
  <c r="D542" i="11"/>
  <c r="F553" i="11"/>
  <c r="G551" i="11"/>
  <c r="K551" i="11" s="1"/>
  <c r="D549" i="11"/>
  <c r="G547" i="11"/>
  <c r="K547" i="11" s="1"/>
  <c r="C542" i="11"/>
  <c r="H542" i="11" s="1"/>
  <c r="E553" i="11"/>
  <c r="C549" i="11"/>
  <c r="H549" i="11" s="1"/>
  <c r="C547" i="11"/>
  <c r="H547" i="11" s="1"/>
  <c r="G545" i="11"/>
  <c r="K545" i="11" s="1"/>
  <c r="D553" i="11"/>
  <c r="F545" i="11"/>
  <c r="C553" i="11"/>
  <c r="H553" i="11" s="1"/>
  <c r="E545" i="11"/>
  <c r="D545" i="11"/>
  <c r="G543" i="11"/>
  <c r="K543" i="11" s="1"/>
  <c r="G548" i="11"/>
  <c r="K548" i="11" s="1"/>
  <c r="C545" i="11"/>
  <c r="H545" i="11" s="1"/>
  <c r="C543" i="11"/>
  <c r="H543" i="11" s="1"/>
  <c r="F548" i="11"/>
  <c r="F552" i="11"/>
  <c r="G550" i="11"/>
  <c r="K550" i="11" s="1"/>
  <c r="E548" i="11"/>
  <c r="D552" i="11"/>
  <c r="F550" i="11"/>
  <c r="D548" i="11"/>
  <c r="C552" i="11"/>
  <c r="H552" i="11" s="1"/>
  <c r="E550" i="11"/>
  <c r="C548" i="11"/>
  <c r="H548" i="11" s="1"/>
  <c r="G546" i="11"/>
  <c r="K546" i="11" s="1"/>
  <c r="G544" i="11"/>
  <c r="K544" i="11" s="1"/>
  <c r="C550" i="11"/>
  <c r="H550" i="11" s="1"/>
  <c r="F546" i="11"/>
  <c r="F544" i="11"/>
  <c r="E546" i="11"/>
  <c r="E544" i="11"/>
  <c r="C546" i="11"/>
  <c r="H546" i="11" s="1"/>
  <c r="D544" i="11"/>
  <c r="G549" i="11"/>
  <c r="K549" i="11" s="1"/>
  <c r="C544" i="11"/>
  <c r="H544" i="11" s="1"/>
  <c r="G542" i="11"/>
  <c r="K542" i="11" s="1"/>
  <c r="F549" i="11"/>
  <c r="F542" i="11"/>
  <c r="E549" i="11"/>
  <c r="E542" i="11"/>
  <c r="G553" i="11"/>
  <c r="K553" i="11" s="1"/>
  <c r="BB52" i="3"/>
  <c r="C637" i="11"/>
  <c r="H637" i="11" s="1"/>
  <c r="G634" i="11"/>
  <c r="C633" i="11"/>
  <c r="H633" i="11" s="1"/>
  <c r="G630" i="11"/>
  <c r="C629" i="11"/>
  <c r="H629" i="11" s="1"/>
  <c r="G626" i="11"/>
  <c r="F634" i="11"/>
  <c r="F630" i="11"/>
  <c r="F626" i="11"/>
  <c r="E637" i="11"/>
  <c r="C634" i="11"/>
  <c r="H634" i="11" s="1"/>
  <c r="C631" i="11"/>
  <c r="H631" i="11" s="1"/>
  <c r="C628" i="11"/>
  <c r="H628" i="11" s="1"/>
  <c r="D637" i="11"/>
  <c r="D636" i="11"/>
  <c r="D633" i="11"/>
  <c r="C632" i="11"/>
  <c r="H632" i="11" s="1"/>
  <c r="D630" i="11"/>
  <c r="F628" i="11"/>
  <c r="E626" i="11"/>
  <c r="C630" i="11"/>
  <c r="H630" i="11" s="1"/>
  <c r="E628" i="11"/>
  <c r="D626" i="11"/>
  <c r="G635" i="11"/>
  <c r="D628" i="11"/>
  <c r="C626" i="11"/>
  <c r="H626" i="11" s="1"/>
  <c r="G637" i="11"/>
  <c r="F635" i="11"/>
  <c r="F637" i="11"/>
  <c r="E635" i="11"/>
  <c r="D635" i="11"/>
  <c r="G633" i="11"/>
  <c r="G631" i="11"/>
  <c r="C635" i="11"/>
  <c r="H635" i="11" s="1"/>
  <c r="F633" i="11"/>
  <c r="F631" i="11"/>
  <c r="G629" i="11"/>
  <c r="E633" i="11"/>
  <c r="E631" i="11"/>
  <c r="F629" i="11"/>
  <c r="G627" i="11"/>
  <c r="D631" i="11"/>
  <c r="E629" i="11"/>
  <c r="F627" i="11"/>
  <c r="D629" i="11"/>
  <c r="E627" i="11"/>
  <c r="D627" i="11"/>
  <c r="G636" i="11"/>
  <c r="C627" i="11"/>
  <c r="H627" i="11" s="1"/>
  <c r="F636" i="11"/>
  <c r="G632" i="11"/>
  <c r="E636" i="11"/>
  <c r="E634" i="11"/>
  <c r="F632" i="11"/>
  <c r="C636" i="11"/>
  <c r="H636" i="11" s="1"/>
  <c r="D634" i="11"/>
  <c r="E632" i="11"/>
  <c r="D632" i="11"/>
  <c r="E630" i="11"/>
  <c r="G628" i="11"/>
  <c r="AU67" i="3"/>
  <c r="AW67" i="3"/>
  <c r="AS84" i="3"/>
  <c r="AA52" i="3"/>
  <c r="AX52" i="3" s="1"/>
  <c r="D877" i="11"/>
  <c r="D873" i="11"/>
  <c r="D869" i="11"/>
  <c r="C877" i="11"/>
  <c r="H877" i="11" s="1"/>
  <c r="G874" i="11"/>
  <c r="K874" i="11" s="1"/>
  <c r="C873" i="11"/>
  <c r="H873" i="11" s="1"/>
  <c r="G870" i="11"/>
  <c r="K870" i="11" s="1"/>
  <c r="C869" i="11"/>
  <c r="H869" i="11" s="1"/>
  <c r="G866" i="11"/>
  <c r="K866" i="11" s="1"/>
  <c r="G876" i="11"/>
  <c r="K876" i="11" s="1"/>
  <c r="G873" i="11"/>
  <c r="K873" i="11" s="1"/>
  <c r="E870" i="11"/>
  <c r="E867" i="11"/>
  <c r="F876" i="11"/>
  <c r="F873" i="11"/>
  <c r="D870" i="11"/>
  <c r="D867" i="11"/>
  <c r="E876" i="11"/>
  <c r="E873" i="11"/>
  <c r="C870" i="11"/>
  <c r="H870" i="11" s="1"/>
  <c r="C867" i="11"/>
  <c r="H867" i="11" s="1"/>
  <c r="D876" i="11"/>
  <c r="C876" i="11"/>
  <c r="H876" i="11" s="1"/>
  <c r="G871" i="11"/>
  <c r="G868" i="11"/>
  <c r="K868" i="11" s="1"/>
  <c r="F874" i="11"/>
  <c r="F871" i="11"/>
  <c r="F868" i="11"/>
  <c r="G877" i="11"/>
  <c r="K877" i="11" s="1"/>
  <c r="E874" i="11"/>
  <c r="E871" i="11"/>
  <c r="E868" i="11"/>
  <c r="F877" i="11"/>
  <c r="D874" i="11"/>
  <c r="D871" i="11"/>
  <c r="D868" i="11"/>
  <c r="E877" i="11"/>
  <c r="G875" i="11"/>
  <c r="C875" i="11"/>
  <c r="H875" i="11" s="1"/>
  <c r="C872" i="11"/>
  <c r="H872" i="11" s="1"/>
  <c r="G867" i="11"/>
  <c r="K867" i="11" s="1"/>
  <c r="F870" i="11"/>
  <c r="F867" i="11"/>
  <c r="D875" i="11"/>
  <c r="F866" i="11"/>
  <c r="C874" i="11"/>
  <c r="H874" i="11" s="1"/>
  <c r="E866" i="11"/>
  <c r="D866" i="11"/>
  <c r="C866" i="11"/>
  <c r="H866" i="11" s="1"/>
  <c r="G869" i="11"/>
  <c r="K869" i="11" s="1"/>
  <c r="F869" i="11"/>
  <c r="E869" i="11"/>
  <c r="G872" i="11"/>
  <c r="K872" i="11" s="1"/>
  <c r="C868" i="11"/>
  <c r="H868" i="11" s="1"/>
  <c r="F872" i="11"/>
  <c r="E872" i="11"/>
  <c r="D872" i="11"/>
  <c r="C871" i="11"/>
  <c r="H871" i="11" s="1"/>
  <c r="F875" i="11"/>
  <c r="E875" i="11"/>
  <c r="BB85" i="3"/>
  <c r="L414" i="11"/>
  <c r="BC38" i="3"/>
  <c r="BB38" i="3"/>
  <c r="F467" i="11"/>
  <c r="E467" i="11"/>
  <c r="G466" i="11"/>
  <c r="C465" i="11"/>
  <c r="H465" i="11" s="1"/>
  <c r="G462" i="11"/>
  <c r="C461" i="11"/>
  <c r="H461" i="11" s="1"/>
  <c r="G458" i="11"/>
  <c r="G469" i="11"/>
  <c r="F466" i="11"/>
  <c r="F462" i="11"/>
  <c r="F458" i="11"/>
  <c r="F469" i="11"/>
  <c r="E466" i="11"/>
  <c r="E462" i="11"/>
  <c r="E458" i="11"/>
  <c r="E469" i="11"/>
  <c r="D466" i="11"/>
  <c r="D462" i="11"/>
  <c r="D458" i="11"/>
  <c r="D469" i="11"/>
  <c r="C466" i="11"/>
  <c r="H466" i="11" s="1"/>
  <c r="G463" i="11"/>
  <c r="C462" i="11"/>
  <c r="H462" i="11" s="1"/>
  <c r="G459" i="11"/>
  <c r="C458" i="11"/>
  <c r="H458" i="11" s="1"/>
  <c r="C469" i="11"/>
  <c r="H469" i="11" s="1"/>
  <c r="F463" i="11"/>
  <c r="F459" i="11"/>
  <c r="G467" i="11"/>
  <c r="E463" i="11"/>
  <c r="E459" i="11"/>
  <c r="C467" i="11"/>
  <c r="H467" i="11" s="1"/>
  <c r="G464" i="11"/>
  <c r="C463" i="11"/>
  <c r="H463" i="11" s="1"/>
  <c r="G460" i="11"/>
  <c r="C459" i="11"/>
  <c r="H459" i="11" s="1"/>
  <c r="F464" i="11"/>
  <c r="C468" i="11"/>
  <c r="H468" i="11" s="1"/>
  <c r="E465" i="11"/>
  <c r="E461" i="11"/>
  <c r="D463" i="11"/>
  <c r="D460" i="11"/>
  <c r="C460" i="11"/>
  <c r="H460" i="11" s="1"/>
  <c r="D459" i="11"/>
  <c r="G465" i="11"/>
  <c r="F465" i="11"/>
  <c r="G468" i="11"/>
  <c r="D465" i="11"/>
  <c r="F468" i="11"/>
  <c r="G461" i="11"/>
  <c r="E468" i="11"/>
  <c r="E464" i="11"/>
  <c r="F461" i="11"/>
  <c r="D468" i="11"/>
  <c r="D464" i="11"/>
  <c r="D461" i="11"/>
  <c r="C464" i="11"/>
  <c r="H464" i="11" s="1"/>
  <c r="D467" i="11"/>
  <c r="F460" i="11"/>
  <c r="E460" i="11"/>
  <c r="F589" i="11"/>
  <c r="F585" i="11"/>
  <c r="F581" i="11"/>
  <c r="E589" i="11"/>
  <c r="E585" i="11"/>
  <c r="E581" i="11"/>
  <c r="G588" i="11"/>
  <c r="K588" i="11" s="1"/>
  <c r="G585" i="11"/>
  <c r="K585" i="11" s="1"/>
  <c r="E582" i="11"/>
  <c r="E579" i="11"/>
  <c r="F588" i="11"/>
  <c r="D585" i="11"/>
  <c r="D582" i="11"/>
  <c r="D579" i="11"/>
  <c r="E588" i="11"/>
  <c r="C585" i="11"/>
  <c r="H585" i="11" s="1"/>
  <c r="C582" i="11"/>
  <c r="H582" i="11" s="1"/>
  <c r="C579" i="11"/>
  <c r="H579" i="11" s="1"/>
  <c r="D588" i="11"/>
  <c r="C588" i="11"/>
  <c r="H588" i="11" s="1"/>
  <c r="G586" i="11"/>
  <c r="G583" i="11"/>
  <c r="K583" i="11" s="1"/>
  <c r="G580" i="11"/>
  <c r="K580" i="11" s="1"/>
  <c r="F586" i="11"/>
  <c r="F583" i="11"/>
  <c r="F580" i="11"/>
  <c r="G589" i="11"/>
  <c r="K589" i="11" s="1"/>
  <c r="E586" i="11"/>
  <c r="E583" i="11"/>
  <c r="E580" i="11"/>
  <c r="D589" i="11"/>
  <c r="D586" i="11"/>
  <c r="D583" i="11"/>
  <c r="D580" i="11"/>
  <c r="C589" i="11"/>
  <c r="H589" i="11" s="1"/>
  <c r="C586" i="11"/>
  <c r="H586" i="11" s="1"/>
  <c r="C583" i="11"/>
  <c r="H583" i="11" s="1"/>
  <c r="C580" i="11"/>
  <c r="H580" i="11" s="1"/>
  <c r="G578" i="11"/>
  <c r="K578" i="11" s="1"/>
  <c r="F578" i="11"/>
  <c r="G587" i="11"/>
  <c r="K587" i="11" s="1"/>
  <c r="G584" i="11"/>
  <c r="K584" i="11" s="1"/>
  <c r="G581" i="11"/>
  <c r="K581" i="11" s="1"/>
  <c r="E578" i="11"/>
  <c r="D587" i="11"/>
  <c r="D584" i="11"/>
  <c r="C587" i="11"/>
  <c r="H587" i="11" s="1"/>
  <c r="C584" i="11"/>
  <c r="H584" i="11" s="1"/>
  <c r="G582" i="11"/>
  <c r="K582" i="11" s="1"/>
  <c r="G579" i="11"/>
  <c r="K579" i="11" s="1"/>
  <c r="F584" i="11"/>
  <c r="E584" i="11"/>
  <c r="F582" i="11"/>
  <c r="D581" i="11"/>
  <c r="C581" i="11"/>
  <c r="H581" i="11" s="1"/>
  <c r="F587" i="11"/>
  <c r="E587" i="11"/>
  <c r="F579" i="11"/>
  <c r="D578" i="11"/>
  <c r="C578" i="11"/>
  <c r="H578" i="11" s="1"/>
  <c r="E792" i="11"/>
  <c r="E788" i="11"/>
  <c r="E784" i="11"/>
  <c r="D792" i="11"/>
  <c r="D788" i="11"/>
  <c r="D784" i="11"/>
  <c r="C792" i="11"/>
  <c r="H792" i="11" s="1"/>
  <c r="C789" i="11"/>
  <c r="H789" i="11" s="1"/>
  <c r="C786" i="11"/>
  <c r="H786" i="11" s="1"/>
  <c r="C783" i="11"/>
  <c r="H783" i="11" s="1"/>
  <c r="G793" i="11"/>
  <c r="K793" i="11" s="1"/>
  <c r="G790" i="11"/>
  <c r="K790" i="11" s="1"/>
  <c r="G787" i="11"/>
  <c r="K787" i="11" s="1"/>
  <c r="G784" i="11"/>
  <c r="K784" i="11" s="1"/>
  <c r="F793" i="11"/>
  <c r="F790" i="11"/>
  <c r="F787" i="11"/>
  <c r="F784" i="11"/>
  <c r="E793" i="11"/>
  <c r="E790" i="11"/>
  <c r="E787" i="11"/>
  <c r="C784" i="11"/>
  <c r="H784" i="11" s="1"/>
  <c r="D793" i="11"/>
  <c r="D790" i="11"/>
  <c r="D787" i="11"/>
  <c r="C793" i="11"/>
  <c r="H793" i="11" s="1"/>
  <c r="C790" i="11"/>
  <c r="H790" i="11" s="1"/>
  <c r="C787" i="11"/>
  <c r="H787" i="11" s="1"/>
  <c r="G785" i="11"/>
  <c r="K785" i="11" s="1"/>
  <c r="G782" i="11"/>
  <c r="K782" i="11" s="1"/>
  <c r="F785" i="11"/>
  <c r="F782" i="11"/>
  <c r="G791" i="11"/>
  <c r="K791" i="11" s="1"/>
  <c r="G788" i="11"/>
  <c r="K788" i="11" s="1"/>
  <c r="E785" i="11"/>
  <c r="E782" i="11"/>
  <c r="F791" i="11"/>
  <c r="F788" i="11"/>
  <c r="D785" i="11"/>
  <c r="D782" i="11"/>
  <c r="E791" i="11"/>
  <c r="C788" i="11"/>
  <c r="H788" i="11" s="1"/>
  <c r="C785" i="11"/>
  <c r="H785" i="11" s="1"/>
  <c r="C782" i="11"/>
  <c r="H782" i="11" s="1"/>
  <c r="D791" i="11"/>
  <c r="C791" i="11"/>
  <c r="H791" i="11" s="1"/>
  <c r="F789" i="11"/>
  <c r="F786" i="11"/>
  <c r="F783" i="11"/>
  <c r="G792" i="11"/>
  <c r="K792" i="11" s="1"/>
  <c r="E789" i="11"/>
  <c r="E786" i="11"/>
  <c r="E783" i="11"/>
  <c r="F792" i="11"/>
  <c r="D789" i="11"/>
  <c r="D786" i="11"/>
  <c r="D783" i="11"/>
  <c r="G789" i="11"/>
  <c r="K789" i="11" s="1"/>
  <c r="G786" i="11"/>
  <c r="K786" i="11" s="1"/>
  <c r="G783" i="11"/>
  <c r="K783" i="11" s="1"/>
  <c r="D853" i="11"/>
  <c r="D849" i="11"/>
  <c r="D845" i="11"/>
  <c r="C853" i="11"/>
  <c r="H853" i="11" s="1"/>
  <c r="G850" i="11"/>
  <c r="K850" i="11" s="1"/>
  <c r="C849" i="11"/>
  <c r="H849" i="11" s="1"/>
  <c r="G846" i="11"/>
  <c r="K846" i="11" s="1"/>
  <c r="C845" i="11"/>
  <c r="H845" i="11" s="1"/>
  <c r="G842" i="11"/>
  <c r="C852" i="11"/>
  <c r="H852" i="11" s="1"/>
  <c r="G847" i="11"/>
  <c r="K847" i="11" s="1"/>
  <c r="G844" i="11"/>
  <c r="K844" i="11" s="1"/>
  <c r="F850" i="11"/>
  <c r="F847" i="11"/>
  <c r="F844" i="11"/>
  <c r="G853" i="11"/>
  <c r="K853" i="11" s="1"/>
  <c r="E850" i="11"/>
  <c r="E847" i="11"/>
  <c r="E844" i="11"/>
  <c r="F853" i="11"/>
  <c r="D850" i="11"/>
  <c r="D847" i="11"/>
  <c r="D844" i="11"/>
  <c r="F842" i="11"/>
  <c r="G852" i="11"/>
  <c r="K852" i="11" s="1"/>
  <c r="G843" i="11"/>
  <c r="F852" i="11"/>
  <c r="G845" i="11"/>
  <c r="F843" i="11"/>
  <c r="E852" i="11"/>
  <c r="F845" i="11"/>
  <c r="E843" i="11"/>
  <c r="D852" i="11"/>
  <c r="E845" i="11"/>
  <c r="D843" i="11"/>
  <c r="C843" i="11"/>
  <c r="H843" i="11" s="1"/>
  <c r="G851" i="11"/>
  <c r="K851" i="11" s="1"/>
  <c r="C847" i="11"/>
  <c r="H847" i="11" s="1"/>
  <c r="F851" i="11"/>
  <c r="G849" i="11"/>
  <c r="K849" i="11" s="1"/>
  <c r="E851" i="11"/>
  <c r="F849" i="11"/>
  <c r="E842" i="11"/>
  <c r="D851" i="11"/>
  <c r="E849" i="11"/>
  <c r="D842" i="11"/>
  <c r="E853" i="11"/>
  <c r="C851" i="11"/>
  <c r="H851" i="11" s="1"/>
  <c r="C842" i="11"/>
  <c r="H842" i="11" s="1"/>
  <c r="G848" i="11"/>
  <c r="F846" i="11"/>
  <c r="C844" i="11"/>
  <c r="H844" i="11" s="1"/>
  <c r="F848" i="11"/>
  <c r="E846" i="11"/>
  <c r="E848" i="11"/>
  <c r="D846" i="11"/>
  <c r="D848" i="11"/>
  <c r="C846" i="11"/>
  <c r="H846" i="11" s="1"/>
  <c r="C850" i="11"/>
  <c r="H850" i="11" s="1"/>
  <c r="C848" i="11"/>
  <c r="H848" i="11" s="1"/>
  <c r="AU83" i="3"/>
  <c r="AW83" i="3"/>
  <c r="E1043" i="11"/>
  <c r="E1039" i="11"/>
  <c r="E1035" i="11"/>
  <c r="D1043" i="11"/>
  <c r="D1039" i="11"/>
  <c r="D1035" i="11"/>
  <c r="G1044" i="11"/>
  <c r="K1044" i="11" s="1"/>
  <c r="C1043" i="11"/>
  <c r="H1043" i="11" s="1"/>
  <c r="G1040" i="11"/>
  <c r="K1040" i="11" s="1"/>
  <c r="C1039" i="11"/>
  <c r="H1039" i="11" s="1"/>
  <c r="G1036" i="11"/>
  <c r="K1036" i="11" s="1"/>
  <c r="F1044" i="11"/>
  <c r="G1043" i="11"/>
  <c r="K1043" i="11" s="1"/>
  <c r="C1042" i="11"/>
  <c r="H1042" i="11" s="1"/>
  <c r="G1039" i="11"/>
  <c r="K1039" i="11" s="1"/>
  <c r="C1038" i="11"/>
  <c r="H1038" i="11" s="1"/>
  <c r="G1035" i="11"/>
  <c r="K1035" i="11" s="1"/>
  <c r="C1034" i="11"/>
  <c r="H1034" i="11" s="1"/>
  <c r="F1043" i="11"/>
  <c r="F1039" i="11"/>
  <c r="F1035" i="11"/>
  <c r="D1042" i="11"/>
  <c r="E1038" i="11"/>
  <c r="C1036" i="11"/>
  <c r="H1036" i="11" s="1"/>
  <c r="G1034" i="11"/>
  <c r="K1034" i="11" s="1"/>
  <c r="D1038" i="11"/>
  <c r="F1034" i="11"/>
  <c r="E1034" i="11"/>
  <c r="D1034" i="11"/>
  <c r="G1045" i="11"/>
  <c r="K1045" i="11" s="1"/>
  <c r="G1041" i="11"/>
  <c r="K1041" i="11" s="1"/>
  <c r="F1045" i="11"/>
  <c r="F1041" i="11"/>
  <c r="G1037" i="11"/>
  <c r="K1037" i="11" s="1"/>
  <c r="E1045" i="11"/>
  <c r="E1041" i="11"/>
  <c r="F1037" i="11"/>
  <c r="D1045" i="11"/>
  <c r="D1041" i="11"/>
  <c r="E1037" i="11"/>
  <c r="C1045" i="11"/>
  <c r="H1045" i="11" s="1"/>
  <c r="C1041" i="11"/>
  <c r="H1041" i="11" s="1"/>
  <c r="D1037" i="11"/>
  <c r="C1035" i="11"/>
  <c r="H1035" i="11" s="1"/>
  <c r="C1037" i="11"/>
  <c r="H1037" i="11" s="1"/>
  <c r="E1044" i="11"/>
  <c r="F1040" i="11"/>
  <c r="D1044" i="11"/>
  <c r="G1042" i="11"/>
  <c r="K1042" i="11" s="1"/>
  <c r="E1040" i="11"/>
  <c r="F1036" i="11"/>
  <c r="C1044" i="11"/>
  <c r="H1044" i="11" s="1"/>
  <c r="F1042" i="11"/>
  <c r="D1040" i="11"/>
  <c r="G1038" i="11"/>
  <c r="K1038" i="11" s="1"/>
  <c r="E1036" i="11"/>
  <c r="E1042" i="11"/>
  <c r="C1040" i="11"/>
  <c r="H1040" i="11" s="1"/>
  <c r="F1038" i="11"/>
  <c r="D1036" i="11"/>
  <c r="AA93" i="3"/>
  <c r="AX93" i="3" s="1"/>
  <c r="BB94" i="3"/>
  <c r="D1114" i="11"/>
  <c r="D1110" i="11"/>
  <c r="D1106" i="11"/>
  <c r="C1117" i="11"/>
  <c r="H1117" i="11" s="1"/>
  <c r="E1114" i="11"/>
  <c r="F1111" i="11"/>
  <c r="C1107" i="11"/>
  <c r="H1107" i="11" s="1"/>
  <c r="C1114" i="11"/>
  <c r="H1114" i="11" s="1"/>
  <c r="E1111" i="11"/>
  <c r="G1108" i="11"/>
  <c r="K1108" i="11" s="1"/>
  <c r="E1117" i="11"/>
  <c r="G1115" i="11"/>
  <c r="K1115" i="11" s="1"/>
  <c r="E1112" i="11"/>
  <c r="C1109" i="11"/>
  <c r="H1109" i="11" s="1"/>
  <c r="G1107" i="11"/>
  <c r="D1117" i="11"/>
  <c r="F1115" i="11"/>
  <c r="D1112" i="11"/>
  <c r="F1107" i="11"/>
  <c r="E1115" i="11"/>
  <c r="C1112" i="11"/>
  <c r="H1112" i="11" s="1"/>
  <c r="E1107" i="11"/>
  <c r="D1115" i="11"/>
  <c r="G1110" i="11"/>
  <c r="K1110" i="11" s="1"/>
  <c r="D1107" i="11"/>
  <c r="C1115" i="11"/>
  <c r="H1115" i="11" s="1"/>
  <c r="F1110" i="11"/>
  <c r="G1113" i="11"/>
  <c r="E1110" i="11"/>
  <c r="F1113" i="11"/>
  <c r="C1110" i="11"/>
  <c r="H1110" i="11" s="1"/>
  <c r="F1108" i="11"/>
  <c r="G1116" i="11"/>
  <c r="K1116" i="11" s="1"/>
  <c r="E1113" i="11"/>
  <c r="E1108" i="11"/>
  <c r="F1116" i="11"/>
  <c r="D1113" i="11"/>
  <c r="D1108" i="11"/>
  <c r="E1116" i="11"/>
  <c r="C1113" i="11"/>
  <c r="H1113" i="11" s="1"/>
  <c r="G1111" i="11"/>
  <c r="K1111" i="11" s="1"/>
  <c r="C1108" i="11"/>
  <c r="H1108" i="11" s="1"/>
  <c r="D1116" i="11"/>
  <c r="D1111" i="11"/>
  <c r="G1106" i="11"/>
  <c r="C1116" i="11"/>
  <c r="H1116" i="11" s="1"/>
  <c r="C1111" i="11"/>
  <c r="H1111" i="11" s="1"/>
  <c r="F1106" i="11"/>
  <c r="G1114" i="11"/>
  <c r="K1114" i="11" s="1"/>
  <c r="G1109" i="11"/>
  <c r="K1109" i="11" s="1"/>
  <c r="E1106" i="11"/>
  <c r="F1114" i="11"/>
  <c r="F1109" i="11"/>
  <c r="C1106" i="11"/>
  <c r="H1106" i="11" s="1"/>
  <c r="G1117" i="11"/>
  <c r="K1117" i="11" s="1"/>
  <c r="G1112" i="11"/>
  <c r="K1112" i="11" s="1"/>
  <c r="E1109" i="11"/>
  <c r="F1117" i="11"/>
  <c r="F1112" i="11"/>
  <c r="D1109" i="11"/>
  <c r="D1175" i="11"/>
  <c r="D1171" i="11"/>
  <c r="D1167" i="11"/>
  <c r="G1176" i="11"/>
  <c r="K1176" i="11" s="1"/>
  <c r="C1175" i="11"/>
  <c r="H1175" i="11" s="1"/>
  <c r="G1172" i="11"/>
  <c r="K1172" i="11" s="1"/>
  <c r="C1171" i="11"/>
  <c r="H1171" i="11" s="1"/>
  <c r="G1168" i="11"/>
  <c r="K1168" i="11" s="1"/>
  <c r="C1167" i="11"/>
  <c r="H1167" i="11" s="1"/>
  <c r="E1176" i="11"/>
  <c r="E1172" i="11"/>
  <c r="E1168" i="11"/>
  <c r="D1176" i="11"/>
  <c r="D1172" i="11"/>
  <c r="D1168" i="11"/>
  <c r="F1177" i="11"/>
  <c r="F1173" i="11"/>
  <c r="F1169" i="11"/>
  <c r="E1177" i="11"/>
  <c r="E1173" i="11"/>
  <c r="E1169" i="11"/>
  <c r="C1177" i="11"/>
  <c r="H1177" i="11" s="1"/>
  <c r="G1174" i="11"/>
  <c r="K1174" i="11" s="1"/>
  <c r="C1173" i="11"/>
  <c r="H1173" i="11" s="1"/>
  <c r="G1170" i="11"/>
  <c r="K1170" i="11" s="1"/>
  <c r="C1169" i="11"/>
  <c r="H1169" i="11" s="1"/>
  <c r="G1166" i="11"/>
  <c r="K1166" i="11" s="1"/>
  <c r="F1174" i="11"/>
  <c r="F1170" i="11"/>
  <c r="D1174" i="11"/>
  <c r="D1170" i="11"/>
  <c r="D1166" i="11"/>
  <c r="G1173" i="11"/>
  <c r="K1173" i="11" s="1"/>
  <c r="E1170" i="11"/>
  <c r="F1176" i="11"/>
  <c r="D1173" i="11"/>
  <c r="C1170" i="11"/>
  <c r="H1170" i="11" s="1"/>
  <c r="G1167" i="11"/>
  <c r="K1167" i="11" s="1"/>
  <c r="G1171" i="11"/>
  <c r="K1171" i="11" s="1"/>
  <c r="C1176" i="11"/>
  <c r="H1176" i="11" s="1"/>
  <c r="F1172" i="11"/>
  <c r="C1172" i="11"/>
  <c r="H1172" i="11" s="1"/>
  <c r="F1168" i="11"/>
  <c r="C1168" i="11"/>
  <c r="H1168" i="11" s="1"/>
  <c r="G1175" i="11"/>
  <c r="K1175" i="11" s="1"/>
  <c r="F1175" i="11"/>
  <c r="F1171" i="11"/>
  <c r="F1167" i="11"/>
  <c r="E1175" i="11"/>
  <c r="E1171" i="11"/>
  <c r="E1167" i="11"/>
  <c r="E1174" i="11"/>
  <c r="C1174" i="11"/>
  <c r="H1174" i="11" s="1"/>
  <c r="F1166" i="11"/>
  <c r="E1166" i="11"/>
  <c r="G1169" i="11"/>
  <c r="K1169" i="11" s="1"/>
  <c r="C1166" i="11"/>
  <c r="H1166" i="11" s="1"/>
  <c r="G1177" i="11"/>
  <c r="K1177" i="11" s="1"/>
  <c r="D1169" i="11"/>
  <c r="D1177" i="11"/>
  <c r="BQ101" i="3"/>
  <c r="T101" i="3" s="1"/>
  <c r="AN101" i="3" s="1"/>
  <c r="L190" i="11"/>
  <c r="AS41" i="3"/>
  <c r="AA41" i="3"/>
  <c r="AX41" i="3" s="1"/>
  <c r="C457" i="11"/>
  <c r="H457" i="11" s="1"/>
  <c r="G454" i="11"/>
  <c r="C453" i="11"/>
  <c r="H453" i="11" s="1"/>
  <c r="G450" i="11"/>
  <c r="C449" i="11"/>
  <c r="H449" i="11" s="1"/>
  <c r="G446" i="11"/>
  <c r="F454" i="11"/>
  <c r="F450" i="11"/>
  <c r="F446" i="11"/>
  <c r="E454" i="11"/>
  <c r="E450" i="11"/>
  <c r="E446" i="11"/>
  <c r="D454" i="11"/>
  <c r="D450" i="11"/>
  <c r="D446" i="11"/>
  <c r="G455" i="11"/>
  <c r="C454" i="11"/>
  <c r="H454" i="11" s="1"/>
  <c r="G451" i="11"/>
  <c r="C450" i="11"/>
  <c r="H450" i="11" s="1"/>
  <c r="G447" i="11"/>
  <c r="C446" i="11"/>
  <c r="H446" i="11" s="1"/>
  <c r="F455" i="11"/>
  <c r="F451" i="11"/>
  <c r="F447" i="11"/>
  <c r="E455" i="11"/>
  <c r="E451" i="11"/>
  <c r="E457" i="11"/>
  <c r="E453" i="11"/>
  <c r="E449" i="11"/>
  <c r="G457" i="11"/>
  <c r="C452" i="11"/>
  <c r="H452" i="11" s="1"/>
  <c r="G449" i="11"/>
  <c r="F457" i="11"/>
  <c r="F449" i="11"/>
  <c r="D457" i="11"/>
  <c r="D449" i="11"/>
  <c r="D451" i="11"/>
  <c r="G456" i="11"/>
  <c r="C451" i="11"/>
  <c r="H451" i="11" s="1"/>
  <c r="G448" i="11"/>
  <c r="F456" i="11"/>
  <c r="F448" i="11"/>
  <c r="E456" i="11"/>
  <c r="E448" i="11"/>
  <c r="D456" i="11"/>
  <c r="D448" i="11"/>
  <c r="C456" i="11"/>
  <c r="H456" i="11" s="1"/>
  <c r="G453" i="11"/>
  <c r="C448" i="11"/>
  <c r="H448" i="11" s="1"/>
  <c r="F453" i="11"/>
  <c r="D453" i="11"/>
  <c r="D455" i="11"/>
  <c r="E447" i="11"/>
  <c r="C455" i="11"/>
  <c r="H455" i="11" s="1"/>
  <c r="G452" i="11"/>
  <c r="D447" i="11"/>
  <c r="F452" i="11"/>
  <c r="C447" i="11"/>
  <c r="H447" i="11" s="1"/>
  <c r="E452" i="11"/>
  <c r="D452" i="11"/>
  <c r="AT43" i="3"/>
  <c r="BD43" i="3" s="1"/>
  <c r="AT62" i="3"/>
  <c r="AV62" i="3"/>
  <c r="AS72" i="3"/>
  <c r="AS77" i="3"/>
  <c r="BK81" i="3"/>
  <c r="BM81" i="3" s="1"/>
  <c r="I81" i="3" s="1"/>
  <c r="BB82" i="3"/>
  <c r="BB90" i="3"/>
  <c r="BC94" i="3"/>
  <c r="L61" i="11"/>
  <c r="L59" i="11"/>
  <c r="G20" i="3"/>
  <c r="G36" i="3"/>
  <c r="G59" i="3"/>
  <c r="AV67" i="3"/>
  <c r="BK69" i="3"/>
  <c r="BM69" i="3" s="1"/>
  <c r="I69" i="3" s="1"/>
  <c r="D841" i="11"/>
  <c r="D837" i="11"/>
  <c r="D833" i="11"/>
  <c r="C841" i="11"/>
  <c r="H841" i="11" s="1"/>
  <c r="G838" i="11"/>
  <c r="K838" i="11" s="1"/>
  <c r="C837" i="11"/>
  <c r="H837" i="11" s="1"/>
  <c r="G834" i="11"/>
  <c r="K834" i="11" s="1"/>
  <c r="C833" i="11"/>
  <c r="H833" i="11" s="1"/>
  <c r="G830" i="11"/>
  <c r="K830" i="11" s="1"/>
  <c r="G841" i="11"/>
  <c r="K841" i="11" s="1"/>
  <c r="E838" i="11"/>
  <c r="E835" i="11"/>
  <c r="E832" i="11"/>
  <c r="F841" i="11"/>
  <c r="D838" i="11"/>
  <c r="D835" i="11"/>
  <c r="D832" i="11"/>
  <c r="E841" i="11"/>
  <c r="C838" i="11"/>
  <c r="H838" i="11" s="1"/>
  <c r="C835" i="11"/>
  <c r="H835" i="11" s="1"/>
  <c r="C832" i="11"/>
  <c r="H832" i="11" s="1"/>
  <c r="E839" i="11"/>
  <c r="D839" i="11"/>
  <c r="G837" i="11"/>
  <c r="K837" i="11" s="1"/>
  <c r="C839" i="11"/>
  <c r="H839" i="11" s="1"/>
  <c r="F837" i="11"/>
  <c r="G835" i="11"/>
  <c r="K835" i="11" s="1"/>
  <c r="G833" i="11"/>
  <c r="K833" i="11" s="1"/>
  <c r="E837" i="11"/>
  <c r="F835" i="11"/>
  <c r="F833" i="11"/>
  <c r="G831" i="11"/>
  <c r="K831" i="11" s="1"/>
  <c r="E833" i="11"/>
  <c r="F831" i="11"/>
  <c r="E831" i="11"/>
  <c r="D831" i="11"/>
  <c r="G840" i="11"/>
  <c r="K840" i="11" s="1"/>
  <c r="C831" i="11"/>
  <c r="H831" i="11" s="1"/>
  <c r="F840" i="11"/>
  <c r="G836" i="11"/>
  <c r="K836" i="11" s="1"/>
  <c r="E840" i="11"/>
  <c r="F838" i="11"/>
  <c r="F836" i="11"/>
  <c r="D840" i="11"/>
  <c r="E836" i="11"/>
  <c r="F834" i="11"/>
  <c r="C840" i="11"/>
  <c r="H840" i="11" s="1"/>
  <c r="D836" i="11"/>
  <c r="E834" i="11"/>
  <c r="F830" i="11"/>
  <c r="C836" i="11"/>
  <c r="H836" i="11" s="1"/>
  <c r="D834" i="11"/>
  <c r="G832" i="11"/>
  <c r="K832" i="11" s="1"/>
  <c r="E830" i="11"/>
  <c r="C834" i="11"/>
  <c r="H834" i="11" s="1"/>
  <c r="F832" i="11"/>
  <c r="D830" i="11"/>
  <c r="G839" i="11"/>
  <c r="K839" i="11" s="1"/>
  <c r="C830" i="11"/>
  <c r="H830" i="11" s="1"/>
  <c r="F839" i="11"/>
  <c r="BC82" i="3"/>
  <c r="G85" i="3"/>
  <c r="BB89" i="3"/>
  <c r="E1079" i="11"/>
  <c r="E1075" i="11"/>
  <c r="E1071" i="11"/>
  <c r="D1079" i="11"/>
  <c r="D1075" i="11"/>
  <c r="D1071" i="11"/>
  <c r="E1080" i="11"/>
  <c r="E1077" i="11"/>
  <c r="E1074" i="11"/>
  <c r="C1071" i="11"/>
  <c r="H1071" i="11" s="1"/>
  <c r="D1080" i="11"/>
  <c r="D1077" i="11"/>
  <c r="D1074" i="11"/>
  <c r="C1080" i="11"/>
  <c r="H1080" i="11" s="1"/>
  <c r="C1077" i="11"/>
  <c r="H1077" i="11" s="1"/>
  <c r="C1074" i="11"/>
  <c r="H1074" i="11" s="1"/>
  <c r="G1072" i="11"/>
  <c r="F1072" i="11"/>
  <c r="F1081" i="11"/>
  <c r="F1078" i="11"/>
  <c r="F1075" i="11"/>
  <c r="D1072" i="11"/>
  <c r="E1081" i="11"/>
  <c r="E1078" i="11"/>
  <c r="C1075" i="11"/>
  <c r="H1075" i="11" s="1"/>
  <c r="C1072" i="11"/>
  <c r="H1072" i="11" s="1"/>
  <c r="C1081" i="11"/>
  <c r="H1081" i="11" s="1"/>
  <c r="C1078" i="11"/>
  <c r="H1078" i="11" s="1"/>
  <c r="G1076" i="11"/>
  <c r="K1076" i="11" s="1"/>
  <c r="G1073" i="11"/>
  <c r="K1073" i="11" s="1"/>
  <c r="G1070" i="11"/>
  <c r="K1070" i="11" s="1"/>
  <c r="F1076" i="11"/>
  <c r="F1073" i="11"/>
  <c r="G1080" i="11"/>
  <c r="G1077" i="11"/>
  <c r="K1077" i="11" s="1"/>
  <c r="G1074" i="11"/>
  <c r="K1074" i="11" s="1"/>
  <c r="G1071" i="11"/>
  <c r="F1080" i="11"/>
  <c r="F1077" i="11"/>
  <c r="F1074" i="11"/>
  <c r="F1071" i="11"/>
  <c r="G1079" i="11"/>
  <c r="K1079" i="11" s="1"/>
  <c r="G1075" i="11"/>
  <c r="K1075" i="11" s="1"/>
  <c r="F1079" i="11"/>
  <c r="C1079" i="11"/>
  <c r="H1079" i="11" s="1"/>
  <c r="G1078" i="11"/>
  <c r="K1078" i="11" s="1"/>
  <c r="D1078" i="11"/>
  <c r="F1070" i="11"/>
  <c r="E1070" i="11"/>
  <c r="D1070" i="11"/>
  <c r="G1081" i="11"/>
  <c r="K1081" i="11" s="1"/>
  <c r="E1073" i="11"/>
  <c r="C1070" i="11"/>
  <c r="H1070" i="11" s="1"/>
  <c r="D1081" i="11"/>
  <c r="D1073" i="11"/>
  <c r="C1073" i="11"/>
  <c r="H1073" i="11" s="1"/>
  <c r="E1076" i="11"/>
  <c r="E1072" i="11"/>
  <c r="D1076" i="11"/>
  <c r="C1076" i="11"/>
  <c r="H1076" i="11" s="1"/>
  <c r="BK96" i="3"/>
  <c r="BN96" i="3" s="1"/>
  <c r="V96" i="3" s="1"/>
  <c r="Y96" i="3" s="1"/>
  <c r="Z96" i="3" s="1"/>
  <c r="L1141" i="11"/>
  <c r="G98" i="3"/>
  <c r="BB98" i="3"/>
  <c r="AS100" i="3"/>
  <c r="L694" i="11"/>
  <c r="L689" i="11"/>
  <c r="AS95" i="3"/>
  <c r="D1090" i="11"/>
  <c r="G1091" i="11"/>
  <c r="K1091" i="11" s="1"/>
  <c r="E1087" i="11"/>
  <c r="E1083" i="11"/>
  <c r="F1091" i="11"/>
  <c r="D1087" i="11"/>
  <c r="D1083" i="11"/>
  <c r="C1091" i="11"/>
  <c r="H1091" i="11" s="1"/>
  <c r="G1086" i="11"/>
  <c r="K1086" i="11" s="1"/>
  <c r="G1083" i="11"/>
  <c r="K1083" i="11" s="1"/>
  <c r="G1089" i="11"/>
  <c r="K1089" i="11" s="1"/>
  <c r="F1086" i="11"/>
  <c r="F1083" i="11"/>
  <c r="F1089" i="11"/>
  <c r="E1086" i="11"/>
  <c r="C1083" i="11"/>
  <c r="H1083" i="11" s="1"/>
  <c r="G1092" i="11"/>
  <c r="K1092" i="11" s="1"/>
  <c r="E1089" i="11"/>
  <c r="D1086" i="11"/>
  <c r="F1092" i="11"/>
  <c r="E1092" i="11"/>
  <c r="C1089" i="11"/>
  <c r="H1089" i="11" s="1"/>
  <c r="F1084" i="11"/>
  <c r="D1092" i="11"/>
  <c r="G1087" i="11"/>
  <c r="K1087" i="11" s="1"/>
  <c r="E1084" i="11"/>
  <c r="C1092" i="11"/>
  <c r="H1092" i="11" s="1"/>
  <c r="G1090" i="11"/>
  <c r="K1090" i="11" s="1"/>
  <c r="C1087" i="11"/>
  <c r="H1087" i="11" s="1"/>
  <c r="C1084" i="11"/>
  <c r="H1084" i="11" s="1"/>
  <c r="F1090" i="11"/>
  <c r="G1093" i="11"/>
  <c r="K1093" i="11" s="1"/>
  <c r="F1093" i="11"/>
  <c r="C1090" i="11"/>
  <c r="H1090" i="11" s="1"/>
  <c r="F1088" i="11"/>
  <c r="D1093" i="11"/>
  <c r="C1093" i="11"/>
  <c r="H1093" i="11" s="1"/>
  <c r="E1091" i="11"/>
  <c r="C1088" i="11"/>
  <c r="H1088" i="11" s="1"/>
  <c r="C1085" i="11"/>
  <c r="H1085" i="11" s="1"/>
  <c r="C1082" i="11"/>
  <c r="H1082" i="11" s="1"/>
  <c r="D1091" i="11"/>
  <c r="E1088" i="11"/>
  <c r="D1088" i="11"/>
  <c r="F1087" i="11"/>
  <c r="G1082" i="11"/>
  <c r="K1082" i="11" s="1"/>
  <c r="E1093" i="11"/>
  <c r="F1082" i="11"/>
  <c r="C1086" i="11"/>
  <c r="H1086" i="11" s="1"/>
  <c r="E1082" i="11"/>
  <c r="D1082" i="11"/>
  <c r="G1085" i="11"/>
  <c r="K1085" i="11" s="1"/>
  <c r="E1090" i="11"/>
  <c r="F1085" i="11"/>
  <c r="E1085" i="11"/>
  <c r="D1085" i="11"/>
  <c r="D1089" i="11"/>
  <c r="G1084" i="11"/>
  <c r="K1084" i="11" s="1"/>
  <c r="D1084" i="11"/>
  <c r="G1088" i="11"/>
  <c r="K1088" i="11" s="1"/>
  <c r="BC100" i="3"/>
  <c r="AV102" i="3"/>
  <c r="AZ102" i="3" s="1"/>
  <c r="E1031" i="11"/>
  <c r="E1027" i="11"/>
  <c r="E1023" i="11"/>
  <c r="D1031" i="11"/>
  <c r="D1027" i="11"/>
  <c r="D1023" i="11"/>
  <c r="G1031" i="11"/>
  <c r="K1031" i="11" s="1"/>
  <c r="C1030" i="11"/>
  <c r="H1030" i="11" s="1"/>
  <c r="G1027" i="11"/>
  <c r="K1027" i="11" s="1"/>
  <c r="C1026" i="11"/>
  <c r="H1026" i="11" s="1"/>
  <c r="G1023" i="11"/>
  <c r="K1023" i="11" s="1"/>
  <c r="C1022" i="11"/>
  <c r="H1022" i="11" s="1"/>
  <c r="G1032" i="11"/>
  <c r="K1032" i="11" s="1"/>
  <c r="E1029" i="11"/>
  <c r="E1024" i="11"/>
  <c r="F1032" i="11"/>
  <c r="D1029" i="11"/>
  <c r="D1024" i="11"/>
  <c r="E1032" i="11"/>
  <c r="C1029" i="11"/>
  <c r="H1029" i="11" s="1"/>
  <c r="C1024" i="11"/>
  <c r="H1024" i="11" s="1"/>
  <c r="D1032" i="11"/>
  <c r="F1027" i="11"/>
  <c r="G1022" i="11"/>
  <c r="K1022" i="11" s="1"/>
  <c r="C1032" i="11"/>
  <c r="H1032" i="11" s="1"/>
  <c r="C1027" i="11"/>
  <c r="H1027" i="11" s="1"/>
  <c r="F1022" i="11"/>
  <c r="G1030" i="11"/>
  <c r="K1030" i="11" s="1"/>
  <c r="G1025" i="11"/>
  <c r="K1025" i="11" s="1"/>
  <c r="E1022" i="11"/>
  <c r="F1030" i="11"/>
  <c r="F1025" i="11"/>
  <c r="D1022" i="11"/>
  <c r="E1030" i="11"/>
  <c r="G1028" i="11"/>
  <c r="K1028" i="11" s="1"/>
  <c r="E1025" i="11"/>
  <c r="G1033" i="11"/>
  <c r="K1033" i="11" s="1"/>
  <c r="D1030" i="11"/>
  <c r="F1028" i="11"/>
  <c r="D1025" i="11"/>
  <c r="F1033" i="11"/>
  <c r="E1028" i="11"/>
  <c r="C1025" i="11"/>
  <c r="H1025" i="11" s="1"/>
  <c r="E1033" i="11"/>
  <c r="D1028" i="11"/>
  <c r="F1023" i="11"/>
  <c r="D1033" i="11"/>
  <c r="C1028" i="11"/>
  <c r="H1028" i="11" s="1"/>
  <c r="C1023" i="11"/>
  <c r="H1023" i="11" s="1"/>
  <c r="C1033" i="11"/>
  <c r="H1033" i="11" s="1"/>
  <c r="F1031" i="11"/>
  <c r="G1026" i="11"/>
  <c r="K1026" i="11" s="1"/>
  <c r="C1031" i="11"/>
  <c r="H1031" i="11" s="1"/>
  <c r="F1026" i="11"/>
  <c r="G1029" i="11"/>
  <c r="K1029" i="11" s="1"/>
  <c r="E1026" i="11"/>
  <c r="G1024" i="11"/>
  <c r="K1024" i="11" s="1"/>
  <c r="F1029" i="11"/>
  <c r="D1026" i="11"/>
  <c r="F1024" i="11"/>
  <c r="AT103" i="3"/>
  <c r="D1163" i="11"/>
  <c r="D1159" i="11"/>
  <c r="D1155" i="11"/>
  <c r="G1164" i="11"/>
  <c r="K1164" i="11" s="1"/>
  <c r="C1163" i="11"/>
  <c r="H1163" i="11" s="1"/>
  <c r="G1160" i="11"/>
  <c r="K1160" i="11" s="1"/>
  <c r="C1159" i="11"/>
  <c r="H1159" i="11" s="1"/>
  <c r="G1156" i="11"/>
  <c r="K1156" i="11" s="1"/>
  <c r="C1155" i="11"/>
  <c r="H1155" i="11" s="1"/>
  <c r="E1164" i="11"/>
  <c r="E1160" i="11"/>
  <c r="E1156" i="11"/>
  <c r="D1164" i="11"/>
  <c r="D1160" i="11"/>
  <c r="D1156" i="11"/>
  <c r="F1165" i="11"/>
  <c r="F1161" i="11"/>
  <c r="F1157" i="11"/>
  <c r="E1165" i="11"/>
  <c r="E1161" i="11"/>
  <c r="E1157" i="11"/>
  <c r="C1165" i="11"/>
  <c r="H1165" i="11" s="1"/>
  <c r="G1162" i="11"/>
  <c r="K1162" i="11" s="1"/>
  <c r="C1161" i="11"/>
  <c r="H1161" i="11" s="1"/>
  <c r="G1158" i="11"/>
  <c r="K1158" i="11" s="1"/>
  <c r="C1157" i="11"/>
  <c r="H1157" i="11" s="1"/>
  <c r="G1154" i="11"/>
  <c r="K1154" i="11" s="1"/>
  <c r="D1162" i="11"/>
  <c r="D1158" i="11"/>
  <c r="D1154" i="11"/>
  <c r="E1162" i="11"/>
  <c r="E1154" i="11"/>
  <c r="C1162" i="11"/>
  <c r="H1162" i="11" s="1"/>
  <c r="G1159" i="11"/>
  <c r="K1159" i="11" s="1"/>
  <c r="C1154" i="11"/>
  <c r="H1154" i="11" s="1"/>
  <c r="F1163" i="11"/>
  <c r="F1155" i="11"/>
  <c r="D1165" i="11"/>
  <c r="D1161" i="11"/>
  <c r="F1154" i="11"/>
  <c r="F1164" i="11"/>
  <c r="G1157" i="11"/>
  <c r="K1157" i="11" s="1"/>
  <c r="C1164" i="11"/>
  <c r="H1164" i="11" s="1"/>
  <c r="D1157" i="11"/>
  <c r="F1160" i="11"/>
  <c r="C1160" i="11"/>
  <c r="H1160" i="11" s="1"/>
  <c r="G1163" i="11"/>
  <c r="K1163" i="11" s="1"/>
  <c r="F1156" i="11"/>
  <c r="E1163" i="11"/>
  <c r="F1159" i="11"/>
  <c r="C1156" i="11"/>
  <c r="H1156" i="11" s="1"/>
  <c r="E1159" i="11"/>
  <c r="F1162" i="11"/>
  <c r="G1155" i="11"/>
  <c r="K1155" i="11" s="1"/>
  <c r="F1158" i="11"/>
  <c r="E1155" i="11"/>
  <c r="G1165" i="11"/>
  <c r="K1165" i="11" s="1"/>
  <c r="E1158" i="11"/>
  <c r="G1161" i="11"/>
  <c r="K1161" i="11" s="1"/>
  <c r="C1158" i="11"/>
  <c r="H1158" i="11" s="1"/>
  <c r="BB101" i="3"/>
  <c r="D1102" i="11"/>
  <c r="D1098" i="11"/>
  <c r="D1094" i="11"/>
  <c r="E1104" i="11"/>
  <c r="G1101" i="11"/>
  <c r="D1097" i="11"/>
  <c r="F1094" i="11"/>
  <c r="D1104" i="11"/>
  <c r="F1101" i="11"/>
  <c r="C1097" i="11"/>
  <c r="H1097" i="11" s="1"/>
  <c r="E1094" i="11"/>
  <c r="C1104" i="11"/>
  <c r="H1104" i="11" s="1"/>
  <c r="E1099" i="11"/>
  <c r="C1096" i="11"/>
  <c r="H1096" i="11" s="1"/>
  <c r="G1102" i="11"/>
  <c r="D1099" i="11"/>
  <c r="G1094" i="11"/>
  <c r="F1102" i="11"/>
  <c r="C1099" i="11"/>
  <c r="H1099" i="11" s="1"/>
  <c r="C1094" i="11"/>
  <c r="H1094" i="11" s="1"/>
  <c r="G1105" i="11"/>
  <c r="E1102" i="11"/>
  <c r="G1097" i="11"/>
  <c r="F1105" i="11"/>
  <c r="C1102" i="11"/>
  <c r="H1102" i="11" s="1"/>
  <c r="F1097" i="11"/>
  <c r="E1105" i="11"/>
  <c r="G1100" i="11"/>
  <c r="E1097" i="11"/>
  <c r="G1095" i="11"/>
  <c r="D1105" i="11"/>
  <c r="F1100" i="11"/>
  <c r="F1095" i="11"/>
  <c r="C1105" i="11"/>
  <c r="H1105" i="11" s="1"/>
  <c r="G1103" i="11"/>
  <c r="E1100" i="11"/>
  <c r="E1095" i="11"/>
  <c r="F1103" i="11"/>
  <c r="D1100" i="11"/>
  <c r="G1098" i="11"/>
  <c r="D1095" i="11"/>
  <c r="E1103" i="11"/>
  <c r="C1100" i="11"/>
  <c r="H1100" i="11" s="1"/>
  <c r="F1098" i="11"/>
  <c r="C1095" i="11"/>
  <c r="H1095" i="11" s="1"/>
  <c r="D1103" i="11"/>
  <c r="E1098" i="11"/>
  <c r="C1103" i="11"/>
  <c r="H1103" i="11" s="1"/>
  <c r="C1098" i="11"/>
  <c r="H1098" i="11" s="1"/>
  <c r="D1101" i="11"/>
  <c r="F1096" i="11"/>
  <c r="G1104" i="11"/>
  <c r="C1101" i="11"/>
  <c r="H1101" i="11" s="1"/>
  <c r="G1099" i="11"/>
  <c r="E1096" i="11"/>
  <c r="F1104" i="11"/>
  <c r="F1099" i="11"/>
  <c r="D1096" i="11"/>
  <c r="E1101" i="11"/>
  <c r="G1096" i="11"/>
  <c r="BB96" i="3"/>
  <c r="BC101" i="3"/>
  <c r="BC96" i="3"/>
  <c r="L1122" i="11"/>
  <c r="BB102" i="3"/>
  <c r="BB33" i="3"/>
  <c r="L429" i="11"/>
  <c r="BB49" i="3"/>
  <c r="L625" i="11"/>
  <c r="L616" i="11"/>
  <c r="G61" i="3"/>
  <c r="BB65" i="3"/>
  <c r="G77" i="3"/>
  <c r="BB81" i="3"/>
  <c r="G93" i="3"/>
  <c r="BL94" i="3"/>
  <c r="BB97" i="3"/>
  <c r="BC102" i="3"/>
  <c r="L397" i="11" l="1"/>
  <c r="L1125" i="11"/>
  <c r="L600" i="11"/>
  <c r="L887" i="11"/>
  <c r="F27" i="2"/>
  <c r="L592" i="11"/>
  <c r="L278" i="11"/>
  <c r="L58" i="11"/>
  <c r="BO97" i="3"/>
  <c r="W97" i="3" s="1"/>
  <c r="AZ21" i="3"/>
  <c r="BK18" i="3"/>
  <c r="BN18" i="3" s="1"/>
  <c r="V18" i="3" s="1"/>
  <c r="Y18" i="3" s="1"/>
  <c r="I28" i="2" s="1"/>
  <c r="AZ30" i="3"/>
  <c r="L487" i="11"/>
  <c r="L590" i="11"/>
  <c r="BM97" i="3"/>
  <c r="I97" i="3" s="1"/>
  <c r="L471" i="11"/>
  <c r="L1052" i="11"/>
  <c r="BN97" i="3"/>
  <c r="V97" i="3" s="1"/>
  <c r="Y97" i="3" s="1"/>
  <c r="Z97" i="3" s="1"/>
  <c r="L475" i="11"/>
  <c r="BO79" i="3"/>
  <c r="W79" i="3" s="1"/>
  <c r="L358" i="11"/>
  <c r="L715" i="11"/>
  <c r="L516" i="11"/>
  <c r="L500" i="11"/>
  <c r="L385" i="11"/>
  <c r="AV17" i="3"/>
  <c r="L271" i="11"/>
  <c r="L1120" i="11"/>
  <c r="L95" i="11"/>
  <c r="L882" i="11"/>
  <c r="L1128" i="11"/>
  <c r="L944" i="11"/>
  <c r="L39" i="11"/>
  <c r="L1041" i="11"/>
  <c r="AT75" i="3"/>
  <c r="L1127" i="11"/>
  <c r="L765" i="11"/>
  <c r="L599" i="11"/>
  <c r="BD53" i="3"/>
  <c r="AM39" i="3"/>
  <c r="L1015" i="11"/>
  <c r="L281" i="11"/>
  <c r="BO44" i="3"/>
  <c r="W44" i="3" s="1"/>
  <c r="BL44" i="3"/>
  <c r="BD11" i="3"/>
  <c r="L1045" i="11"/>
  <c r="BN73" i="3"/>
  <c r="V73" i="3" s="1"/>
  <c r="Y73" i="3" s="1"/>
  <c r="Z73" i="3" s="1"/>
  <c r="L1002" i="11"/>
  <c r="L1009" i="11"/>
  <c r="L1129" i="11"/>
  <c r="L50" i="11"/>
  <c r="L734" i="11"/>
  <c r="L741" i="11"/>
  <c r="L821" i="11"/>
  <c r="L168" i="11"/>
  <c r="L86" i="11"/>
  <c r="L279" i="11"/>
  <c r="L270" i="11"/>
  <c r="BK31" i="3"/>
  <c r="BM31" i="3" s="1"/>
  <c r="I31" i="3" s="1"/>
  <c r="AM73" i="3"/>
  <c r="AU58" i="3"/>
  <c r="L943" i="11"/>
  <c r="L732" i="11"/>
  <c r="L164" i="11"/>
  <c r="L81" i="11"/>
  <c r="AM35" i="3"/>
  <c r="L386" i="11"/>
  <c r="L150" i="11"/>
  <c r="L729" i="11"/>
  <c r="L48" i="11"/>
  <c r="L751" i="11"/>
  <c r="BM76" i="3"/>
  <c r="I76" i="3" s="1"/>
  <c r="L353" i="11"/>
  <c r="L818" i="11"/>
  <c r="L1190" i="11"/>
  <c r="L721" i="11"/>
  <c r="BO73" i="3"/>
  <c r="W73" i="3" s="1"/>
  <c r="AI73" i="3" s="1"/>
  <c r="AJ73" i="3" s="1"/>
  <c r="AK73" i="3" s="1"/>
  <c r="BM91" i="3"/>
  <c r="I91" i="3" s="1"/>
  <c r="L695" i="11"/>
  <c r="BN76" i="3"/>
  <c r="V76" i="3" s="1"/>
  <c r="Y76" i="3" s="1"/>
  <c r="Z76" i="3" s="1"/>
  <c r="L621" i="11"/>
  <c r="L542" i="11"/>
  <c r="L62" i="11"/>
  <c r="L389" i="11"/>
  <c r="L323" i="11"/>
  <c r="L610" i="11"/>
  <c r="L760" i="11"/>
  <c r="BP73" i="3"/>
  <c r="X73" i="3" s="1"/>
  <c r="BN91" i="3"/>
  <c r="V91" i="3" s="1"/>
  <c r="Y91" i="3" s="1"/>
  <c r="Z91" i="3" s="1"/>
  <c r="BK58" i="3"/>
  <c r="BP58" i="3" s="1"/>
  <c r="X58" i="3" s="1"/>
  <c r="L390" i="11"/>
  <c r="L387" i="11"/>
  <c r="L1199" i="11"/>
  <c r="L361" i="11"/>
  <c r="BM73" i="3"/>
  <c r="I73" i="3" s="1"/>
  <c r="L184" i="11"/>
  <c r="L719" i="11"/>
  <c r="L763" i="11"/>
  <c r="BO91" i="3"/>
  <c r="W91" i="3" s="1"/>
  <c r="L141" i="11"/>
  <c r="L92" i="11"/>
  <c r="L690" i="11"/>
  <c r="BQ73" i="3"/>
  <c r="T73" i="3" s="1"/>
  <c r="AL73" i="3" s="1"/>
  <c r="L493" i="11"/>
  <c r="L183" i="11"/>
  <c r="L764" i="11"/>
  <c r="BM18" i="3"/>
  <c r="I18" i="3" s="1"/>
  <c r="BD71" i="3"/>
  <c r="BK65" i="3"/>
  <c r="BP65" i="3" s="1"/>
  <c r="X65" i="3" s="1"/>
  <c r="BQ71" i="3"/>
  <c r="T71" i="3" s="1"/>
  <c r="L1053" i="11"/>
  <c r="L396" i="11"/>
  <c r="L163" i="11"/>
  <c r="BQ44" i="3"/>
  <c r="T44" i="3" s="1"/>
  <c r="L422" i="11"/>
  <c r="L983" i="11"/>
  <c r="L998" i="11"/>
  <c r="BM60" i="3"/>
  <c r="I60" i="3" s="1"/>
  <c r="L203" i="11"/>
  <c r="L83" i="11"/>
  <c r="L257" i="11"/>
  <c r="L1068" i="11"/>
  <c r="L739" i="11"/>
  <c r="AV101" i="3"/>
  <c r="BD101" i="3" s="1"/>
  <c r="L827" i="11"/>
  <c r="L77" i="11"/>
  <c r="BK19" i="3"/>
  <c r="BL19" i="3" s="1"/>
  <c r="AZ13" i="3"/>
  <c r="BL60" i="3"/>
  <c r="BO49" i="3"/>
  <c r="W49" i="3" s="1"/>
  <c r="AM60" i="3"/>
  <c r="AN60" i="3" s="1"/>
  <c r="AO60" i="3" s="1"/>
  <c r="L624" i="11"/>
  <c r="AZ83" i="3"/>
  <c r="AM90" i="3"/>
  <c r="L974" i="11"/>
  <c r="L1012" i="11"/>
  <c r="L1132" i="11"/>
  <c r="BN49" i="3"/>
  <c r="V49" i="3" s="1"/>
  <c r="Y49" i="3" s="1"/>
  <c r="Z49" i="3" s="1"/>
  <c r="L282" i="11"/>
  <c r="L1136" i="11"/>
  <c r="L823" i="11"/>
  <c r="BN60" i="3"/>
  <c r="V60" i="3" s="1"/>
  <c r="Y60" i="3" s="1"/>
  <c r="Z60" i="3" s="1"/>
  <c r="L890" i="11"/>
  <c r="L753" i="11"/>
  <c r="L84" i="11"/>
  <c r="L134" i="11"/>
  <c r="BP60" i="3"/>
  <c r="X60" i="3" s="1"/>
  <c r="BK100" i="3"/>
  <c r="BP100" i="3" s="1"/>
  <c r="X100" i="3" s="1"/>
  <c r="L189" i="11"/>
  <c r="L980" i="11"/>
  <c r="BP49" i="3"/>
  <c r="X49" i="3" s="1"/>
  <c r="AV18" i="3"/>
  <c r="AZ18" i="3" s="1"/>
  <c r="L1006" i="11"/>
  <c r="BO60" i="3"/>
  <c r="W60" i="3" s="1"/>
  <c r="AH60" i="3" s="1"/>
  <c r="L1003" i="11"/>
  <c r="L80" i="11"/>
  <c r="F29" i="2"/>
  <c r="L894" i="11"/>
  <c r="L678" i="11"/>
  <c r="L677" i="11"/>
  <c r="L898" i="11"/>
  <c r="L840" i="11"/>
  <c r="L713" i="11"/>
  <c r="L750" i="11"/>
  <c r="L74" i="11"/>
  <c r="BL92" i="3"/>
  <c r="AT42" i="3"/>
  <c r="BD42" i="3" s="1"/>
  <c r="L179" i="11"/>
  <c r="BP71" i="3"/>
  <c r="X71" i="3" s="1"/>
  <c r="AI71" i="3" s="1"/>
  <c r="AJ71" i="3" s="1"/>
  <c r="AK71" i="3" s="1"/>
  <c r="L1184" i="11"/>
  <c r="L182" i="11"/>
  <c r="L161" i="11"/>
  <c r="L204" i="11"/>
  <c r="BM71" i="3"/>
  <c r="I71" i="3" s="1"/>
  <c r="BM92" i="3"/>
  <c r="I92" i="3" s="1"/>
  <c r="L408" i="11"/>
  <c r="BN92" i="3"/>
  <c r="V92" i="3" s="1"/>
  <c r="Y92" i="3" s="1"/>
  <c r="Z92" i="3" s="1"/>
  <c r="AV92" i="3"/>
  <c r="AZ92" i="3" s="1"/>
  <c r="BQ49" i="3"/>
  <c r="T49" i="3" s="1"/>
  <c r="L1010" i="11"/>
  <c r="L111" i="11"/>
  <c r="L47" i="11"/>
  <c r="L506" i="11"/>
  <c r="L662" i="11"/>
  <c r="L805" i="11"/>
  <c r="BL49" i="3"/>
  <c r="BL71" i="3"/>
  <c r="L499" i="11"/>
  <c r="BQ92" i="3"/>
  <c r="T92" i="3" s="1"/>
  <c r="AL92" i="3" s="1"/>
  <c r="L316" i="11"/>
  <c r="L1057" i="11"/>
  <c r="L199" i="11"/>
  <c r="L159" i="11"/>
  <c r="L680" i="11"/>
  <c r="L897" i="11"/>
  <c r="L153" i="11"/>
  <c r="AM71" i="3"/>
  <c r="L809" i="11"/>
  <c r="L679" i="11"/>
  <c r="L797" i="11"/>
  <c r="L682" i="11"/>
  <c r="L360" i="11"/>
  <c r="L483" i="11"/>
  <c r="L351" i="11"/>
  <c r="L693" i="11"/>
  <c r="BD93" i="3"/>
  <c r="L511" i="11"/>
  <c r="L668" i="11"/>
  <c r="L388" i="11"/>
  <c r="L802" i="11"/>
  <c r="L157" i="11"/>
  <c r="L503" i="11"/>
  <c r="L331" i="11"/>
  <c r="AT28" i="3"/>
  <c r="AZ28" i="3" s="1"/>
  <c r="AM49" i="3"/>
  <c r="L665" i="11"/>
  <c r="L813" i="11"/>
  <c r="L115" i="11"/>
  <c r="L315" i="11"/>
  <c r="L709" i="11"/>
  <c r="L310" i="11"/>
  <c r="L399" i="11"/>
  <c r="L502" i="11"/>
  <c r="L550" i="11"/>
  <c r="L89" i="11"/>
  <c r="L1115" i="11"/>
  <c r="L167" i="11"/>
  <c r="BD26" i="3"/>
  <c r="L716" i="11"/>
  <c r="L185" i="11"/>
  <c r="L1013" i="11"/>
  <c r="BD86" i="3"/>
  <c r="L54" i="11"/>
  <c r="L870" i="11"/>
  <c r="L675" i="11"/>
  <c r="L421" i="11"/>
  <c r="BD21" i="3"/>
  <c r="L66" i="11"/>
  <c r="L91" i="11"/>
  <c r="BN29" i="3"/>
  <c r="V29" i="3" s="1"/>
  <c r="Y29" i="3" s="1"/>
  <c r="Z29" i="3" s="1"/>
  <c r="L264" i="11"/>
  <c r="L1166" i="11"/>
  <c r="BO35" i="3"/>
  <c r="W35" i="3" s="1"/>
  <c r="L812" i="11"/>
  <c r="L904" i="11"/>
  <c r="BP97" i="3"/>
  <c r="X97" i="3" s="1"/>
  <c r="AI97" i="3" s="1"/>
  <c r="AJ97" i="3" s="1"/>
  <c r="AK97" i="3" s="1"/>
  <c r="L377" i="11"/>
  <c r="BP35" i="3"/>
  <c r="X35" i="3" s="1"/>
  <c r="L334" i="11"/>
  <c r="BO63" i="3"/>
  <c r="W63" i="3" s="1"/>
  <c r="AI63" i="3" s="1"/>
  <c r="AJ63" i="3" s="1"/>
  <c r="AK63" i="3" s="1"/>
  <c r="BQ35" i="3"/>
  <c r="T35" i="3" s="1"/>
  <c r="BP44" i="3"/>
  <c r="X44" i="3" s="1"/>
  <c r="AH44" i="3" s="1"/>
  <c r="BN46" i="3"/>
  <c r="V46" i="3" s="1"/>
  <c r="Y46" i="3" s="1"/>
  <c r="Z46" i="3" s="1"/>
  <c r="AU29" i="3"/>
  <c r="BD61" i="3"/>
  <c r="L692" i="11"/>
  <c r="L192" i="11"/>
  <c r="L596" i="11"/>
  <c r="L1121" i="11"/>
  <c r="L702" i="11"/>
  <c r="L45" i="11"/>
  <c r="AM63" i="3"/>
  <c r="L598" i="11"/>
  <c r="L816" i="11"/>
  <c r="L697" i="11"/>
  <c r="L254" i="11"/>
  <c r="AY97" i="3"/>
  <c r="L197" i="11"/>
  <c r="AN94" i="3"/>
  <c r="AO94" i="3" s="1"/>
  <c r="L491" i="11"/>
  <c r="L1182" i="11"/>
  <c r="AW96" i="3"/>
  <c r="L488" i="11"/>
  <c r="L740" i="11"/>
  <c r="L1186" i="11"/>
  <c r="L885" i="11"/>
  <c r="BL35" i="3"/>
  <c r="L615" i="11"/>
  <c r="L492" i="11"/>
  <c r="L1181" i="11"/>
  <c r="L888" i="11"/>
  <c r="L1131" i="11"/>
  <c r="L60" i="11"/>
  <c r="L120" i="11"/>
  <c r="L910" i="11"/>
  <c r="L1049" i="11"/>
  <c r="L720" i="11"/>
  <c r="L938" i="11"/>
  <c r="L667" i="11"/>
  <c r="L196" i="11"/>
  <c r="L828" i="11"/>
  <c r="L759" i="11"/>
  <c r="BL90" i="3"/>
  <c r="BQ63" i="3"/>
  <c r="T63" i="3" s="1"/>
  <c r="BM35" i="3"/>
  <c r="I35" i="3" s="1"/>
  <c r="BP46" i="3"/>
  <c r="X46" i="3" s="1"/>
  <c r="AH46" i="3" s="1"/>
  <c r="L348" i="11"/>
  <c r="AZ75" i="3"/>
  <c r="BP29" i="3"/>
  <c r="X29" i="3" s="1"/>
  <c r="AT44" i="3"/>
  <c r="AZ44" i="3" s="1"/>
  <c r="BQ91" i="3"/>
  <c r="T91" i="3" s="1"/>
  <c r="L757" i="11"/>
  <c r="L90" i="11"/>
  <c r="L685" i="11"/>
  <c r="L895" i="11"/>
  <c r="L795" i="11"/>
  <c r="BO78" i="3"/>
  <c r="W78" i="3" s="1"/>
  <c r="AC78" i="3" s="1"/>
  <c r="L595" i="11"/>
  <c r="L490" i="11"/>
  <c r="L934" i="11"/>
  <c r="L1187" i="11"/>
  <c r="L746" i="11"/>
  <c r="BL63" i="3"/>
  <c r="L737" i="11"/>
  <c r="L1073" i="11"/>
  <c r="L261" i="11"/>
  <c r="BN63" i="3"/>
  <c r="V63" i="3" s="1"/>
  <c r="Y63" i="3" s="1"/>
  <c r="Z63" i="3" s="1"/>
  <c r="BQ46" i="3"/>
  <c r="T46" i="3" s="1"/>
  <c r="AN46" i="3" s="1"/>
  <c r="AO46" i="3" s="1"/>
  <c r="BQ29" i="3"/>
  <c r="T29" i="3" s="1"/>
  <c r="AL29" i="3" s="1"/>
  <c r="L1133" i="11"/>
  <c r="L265" i="11"/>
  <c r="L375" i="11"/>
  <c r="L345" i="11"/>
  <c r="L869" i="11"/>
  <c r="L617" i="11"/>
  <c r="L867" i="11"/>
  <c r="L485" i="11"/>
  <c r="L880" i="11"/>
  <c r="L55" i="11"/>
  <c r="BL101" i="3"/>
  <c r="L905" i="11"/>
  <c r="L712" i="11"/>
  <c r="L942" i="11"/>
  <c r="L978" i="11"/>
  <c r="L670" i="11"/>
  <c r="L820" i="11"/>
  <c r="L758" i="11"/>
  <c r="L78" i="11"/>
  <c r="L480" i="11"/>
  <c r="BQ90" i="3"/>
  <c r="T90" i="3" s="1"/>
  <c r="BL46" i="3"/>
  <c r="L17" i="11"/>
  <c r="L342" i="11"/>
  <c r="L708" i="11"/>
  <c r="L1021" i="11"/>
  <c r="BQ28" i="3"/>
  <c r="T28" i="3" s="1"/>
  <c r="AN28" i="3" s="1"/>
  <c r="L710" i="11"/>
  <c r="BM63" i="3"/>
  <c r="I63" i="3" s="1"/>
  <c r="BD65" i="3"/>
  <c r="L114" i="11"/>
  <c r="L803" i="11"/>
  <c r="L379" i="11"/>
  <c r="BM46" i="3"/>
  <c r="I46" i="3" s="1"/>
  <c r="AZ86" i="3"/>
  <c r="L121" i="11"/>
  <c r="L718" i="11"/>
  <c r="L794" i="11"/>
  <c r="L798" i="11"/>
  <c r="L768" i="11"/>
  <c r="L676" i="11"/>
  <c r="L547" i="11"/>
  <c r="L879" i="11"/>
  <c r="L1139" i="11"/>
  <c r="L57" i="11"/>
  <c r="BN101" i="3"/>
  <c r="V101" i="3" s="1"/>
  <c r="Y101" i="3" s="1"/>
  <c r="Z101" i="3" s="1"/>
  <c r="L417" i="11"/>
  <c r="BO89" i="3"/>
  <c r="W89" i="3" s="1"/>
  <c r="AH89" i="3" s="1"/>
  <c r="L912" i="11"/>
  <c r="L1055" i="11"/>
  <c r="L711" i="11"/>
  <c r="L946" i="11"/>
  <c r="L975" i="11"/>
  <c r="L673" i="11"/>
  <c r="L825" i="11"/>
  <c r="L63" i="11"/>
  <c r="L762" i="11"/>
  <c r="L149" i="11"/>
  <c r="L82" i="11"/>
  <c r="L441" i="11"/>
  <c r="L137" i="11"/>
  <c r="L273" i="11"/>
  <c r="L22" i="11"/>
  <c r="AV58" i="3"/>
  <c r="BD58" i="3" s="1"/>
  <c r="L143" i="11"/>
  <c r="BO29" i="3"/>
  <c r="W29" i="3" s="1"/>
  <c r="BP91" i="3"/>
  <c r="X91" i="3" s="1"/>
  <c r="AI91" i="3" s="1"/>
  <c r="AJ91" i="3" s="1"/>
  <c r="AK91" i="3" s="1"/>
  <c r="L512" i="11"/>
  <c r="BM29" i="3"/>
  <c r="I29" i="3" s="1"/>
  <c r="L320" i="11"/>
  <c r="L495" i="11"/>
  <c r="L700" i="11"/>
  <c r="BK52" i="3"/>
  <c r="BM52" i="3" s="1"/>
  <c r="I52" i="3" s="1"/>
  <c r="L426" i="11"/>
  <c r="L1183" i="11"/>
  <c r="L116" i="11"/>
  <c r="L1177" i="11"/>
  <c r="L259" i="11"/>
  <c r="BM100" i="3"/>
  <c r="I100" i="3" s="1"/>
  <c r="L75" i="11"/>
  <c r="L906" i="11"/>
  <c r="L1048" i="11"/>
  <c r="L908" i="11"/>
  <c r="L1050" i="11"/>
  <c r="L614" i="11"/>
  <c r="L619" i="11"/>
  <c r="L683" i="11"/>
  <c r="L1123" i="11"/>
  <c r="L551" i="11"/>
  <c r="L883" i="11"/>
  <c r="L1137" i="11"/>
  <c r="BO101" i="3"/>
  <c r="W101" i="3" s="1"/>
  <c r="L412" i="11"/>
  <c r="L902" i="11"/>
  <c r="L602" i="11"/>
  <c r="L940" i="11"/>
  <c r="L984" i="11"/>
  <c r="L395" i="11"/>
  <c r="L829" i="11"/>
  <c r="L64" i="11"/>
  <c r="L766" i="11"/>
  <c r="L146" i="11"/>
  <c r="L169" i="11"/>
  <c r="L97" i="11"/>
  <c r="L277" i="11"/>
  <c r="BQ96" i="3"/>
  <c r="T96" i="3" s="1"/>
  <c r="AL96" i="3" s="1"/>
  <c r="L1149" i="11"/>
  <c r="BO37" i="3"/>
  <c r="W37" i="3" s="1"/>
  <c r="BM96" i="3"/>
  <c r="I96" i="3" s="1"/>
  <c r="L188" i="11"/>
  <c r="L418" i="11"/>
  <c r="L593" i="11"/>
  <c r="L1020" i="11"/>
  <c r="L285" i="11"/>
  <c r="L43" i="11"/>
  <c r="L24" i="11"/>
  <c r="L927" i="11"/>
  <c r="L931" i="11"/>
  <c r="L892" i="11"/>
  <c r="L622" i="11"/>
  <c r="L868" i="11"/>
  <c r="L935" i="11"/>
  <c r="L900" i="11"/>
  <c r="L752" i="11"/>
  <c r="L70" i="11"/>
  <c r="L155" i="11"/>
  <c r="L329" i="11"/>
  <c r="L287" i="11"/>
  <c r="L19" i="11"/>
  <c r="L330" i="11"/>
  <c r="L1017" i="11"/>
  <c r="AV29" i="3"/>
  <c r="L1111" i="11"/>
  <c r="L1038" i="11"/>
  <c r="AZ11" i="3"/>
  <c r="BD12" i="3"/>
  <c r="L233" i="11"/>
  <c r="BP79" i="3"/>
  <c r="X79" i="3" s="1"/>
  <c r="AC79" i="3" s="1"/>
  <c r="L209" i="11"/>
  <c r="BO92" i="3"/>
  <c r="W92" i="3" s="1"/>
  <c r="AH92" i="3" s="1"/>
  <c r="BN90" i="3"/>
  <c r="V90" i="3" s="1"/>
  <c r="Y90" i="3" s="1"/>
  <c r="Z90" i="3" s="1"/>
  <c r="L286" i="11"/>
  <c r="BL79" i="3"/>
  <c r="L217" i="11"/>
  <c r="AY37" i="3"/>
  <c r="AZ14" i="3"/>
  <c r="BO90" i="3"/>
  <c r="W90" i="3" s="1"/>
  <c r="AC90" i="3" s="1"/>
  <c r="AY55" i="3"/>
  <c r="BM79" i="3"/>
  <c r="I79" i="3" s="1"/>
  <c r="BM90" i="3"/>
  <c r="I90" i="3" s="1"/>
  <c r="L324" i="11"/>
  <c r="L699" i="11"/>
  <c r="BN79" i="3"/>
  <c r="V79" i="3" s="1"/>
  <c r="Y79" i="3" s="1"/>
  <c r="Z79" i="3" s="1"/>
  <c r="L570" i="11"/>
  <c r="L142" i="11"/>
  <c r="L1148" i="11"/>
  <c r="BL89" i="3"/>
  <c r="L269" i="11"/>
  <c r="L1152" i="11"/>
  <c r="L1086" i="11"/>
  <c r="L139" i="11"/>
  <c r="BL37" i="3"/>
  <c r="L698" i="11"/>
  <c r="L792" i="11"/>
  <c r="L1084" i="11"/>
  <c r="AV38" i="3"/>
  <c r="AY38" i="3" s="1"/>
  <c r="L41" i="11"/>
  <c r="L15" i="11"/>
  <c r="BM37" i="3"/>
  <c r="I37" i="3" s="1"/>
  <c r="K1072" i="11"/>
  <c r="L1072" i="11" s="1"/>
  <c r="K186" i="11"/>
  <c r="L186" i="11" s="1"/>
  <c r="K350" i="11"/>
  <c r="L350" i="11" s="1"/>
  <c r="K117" i="11"/>
  <c r="L117" i="11" s="1"/>
  <c r="BO33" i="3"/>
  <c r="W33" i="3" s="1"/>
  <c r="BM33" i="3"/>
  <c r="I33" i="3" s="1"/>
  <c r="BN33" i="3"/>
  <c r="V33" i="3" s="1"/>
  <c r="Y33" i="3" s="1"/>
  <c r="Z33" i="3" s="1"/>
  <c r="BP33" i="3"/>
  <c r="X33" i="3" s="1"/>
  <c r="BL33" i="3"/>
  <c r="BQ33" i="3"/>
  <c r="T33" i="3" s="1"/>
  <c r="AN33" i="3" s="1"/>
  <c r="AO33" i="3" s="1"/>
  <c r="K198" i="11"/>
  <c r="L198" i="11" s="1"/>
  <c r="K496" i="11"/>
  <c r="L496" i="11" s="1"/>
  <c r="K478" i="11"/>
  <c r="L478" i="11" s="1"/>
  <c r="AT76" i="3"/>
  <c r="AV76" i="3"/>
  <c r="L913" i="11"/>
  <c r="K748" i="11"/>
  <c r="L748" i="11" s="1"/>
  <c r="K211" i="11"/>
  <c r="L211" i="11" s="1"/>
  <c r="L317" i="11"/>
  <c r="K1197" i="11"/>
  <c r="L1197" i="11" s="1"/>
  <c r="K322" i="11"/>
  <c r="L322" i="11" s="1"/>
  <c r="K392" i="11"/>
  <c r="L392" i="11" s="1"/>
  <c r="K384" i="11"/>
  <c r="L384" i="11" s="1"/>
  <c r="L1188" i="11"/>
  <c r="L687" i="11"/>
  <c r="L256" i="11"/>
  <c r="K416" i="11"/>
  <c r="L416" i="11" s="1"/>
  <c r="K354" i="11"/>
  <c r="L354" i="11" s="1"/>
  <c r="L613" i="11"/>
  <c r="K612" i="11"/>
  <c r="L612" i="11" s="1"/>
  <c r="AV45" i="3"/>
  <c r="K410" i="11"/>
  <c r="L410" i="11" s="1"/>
  <c r="K1046" i="11"/>
  <c r="L1046" i="11" s="1"/>
  <c r="K884" i="11"/>
  <c r="L884" i="11" s="1"/>
  <c r="K160" i="11"/>
  <c r="L160" i="11" s="1"/>
  <c r="K510" i="11"/>
  <c r="L510" i="11" s="1"/>
  <c r="K51" i="11"/>
  <c r="L51" i="11" s="1"/>
  <c r="K258" i="11"/>
  <c r="L258" i="11" s="1"/>
  <c r="AZ9" i="3"/>
  <c r="K289" i="11"/>
  <c r="L289" i="11" s="1"/>
  <c r="K767" i="11"/>
  <c r="L767" i="11" s="1"/>
  <c r="AV87" i="3"/>
  <c r="AY87" i="3" s="1"/>
  <c r="AT87" i="3"/>
  <c r="K1080" i="11"/>
  <c r="L1080" i="11" s="1"/>
  <c r="K714" i="11"/>
  <c r="L714" i="11" s="1"/>
  <c r="K1198" i="11"/>
  <c r="L1198" i="11" s="1"/>
  <c r="K427" i="11"/>
  <c r="L427" i="11"/>
  <c r="K609" i="11"/>
  <c r="L609" i="11" s="1"/>
  <c r="K1060" i="11"/>
  <c r="L1060" i="11" s="1"/>
  <c r="K907" i="11"/>
  <c r="L907" i="11" s="1"/>
  <c r="K56" i="11"/>
  <c r="L56" i="11" s="1"/>
  <c r="BL78" i="3"/>
  <c r="BQ78" i="3"/>
  <c r="T78" i="3" s="1"/>
  <c r="BN78" i="3"/>
  <c r="V78" i="3" s="1"/>
  <c r="Y78" i="3" s="1"/>
  <c r="Z78" i="3" s="1"/>
  <c r="K893" i="11"/>
  <c r="L893" i="11" s="1"/>
  <c r="L151" i="11"/>
  <c r="K1119" i="11"/>
  <c r="L1119" i="11" s="1"/>
  <c r="AT56" i="3"/>
  <c r="AU56" i="3" s="1"/>
  <c r="K1051" i="11"/>
  <c r="L1051" i="11" s="1"/>
  <c r="K162" i="11"/>
  <c r="L162" i="11" s="1"/>
  <c r="K769" i="11"/>
  <c r="L769" i="11" s="1"/>
  <c r="K275" i="11"/>
  <c r="L275" i="11" s="1"/>
  <c r="K69" i="11"/>
  <c r="L69" i="11" s="1"/>
  <c r="K135" i="11"/>
  <c r="L135" i="11" s="1"/>
  <c r="K810" i="11"/>
  <c r="L810" i="11" s="1"/>
  <c r="K394" i="11"/>
  <c r="L394" i="11" s="1"/>
  <c r="K381" i="11"/>
  <c r="L381" i="11" s="1"/>
  <c r="K191" i="11"/>
  <c r="L191" i="11" s="1"/>
  <c r="K85" i="11"/>
  <c r="L85" i="11" s="1"/>
  <c r="K681" i="11"/>
  <c r="L681" i="11" s="1"/>
  <c r="L604" i="11"/>
  <c r="K1064" i="11"/>
  <c r="L1064" i="11" s="1"/>
  <c r="BO62" i="3"/>
  <c r="W62" i="3" s="1"/>
  <c r="K18" i="11"/>
  <c r="L18" i="11" s="1"/>
  <c r="K272" i="11"/>
  <c r="L272" i="11" s="1"/>
  <c r="K65" i="11"/>
  <c r="L65" i="11" s="1"/>
  <c r="L1004" i="11"/>
  <c r="L701" i="11"/>
  <c r="L704" i="11"/>
  <c r="L194" i="11"/>
  <c r="L800" i="11"/>
  <c r="L601" i="11"/>
  <c r="K896" i="11"/>
  <c r="L896" i="11" s="1"/>
  <c r="AV56" i="3"/>
  <c r="K1130" i="11"/>
  <c r="L1130" i="11" s="1"/>
  <c r="K1134" i="11"/>
  <c r="L1134" i="11" s="1"/>
  <c r="K313" i="11"/>
  <c r="L313" i="11" s="1"/>
  <c r="K669" i="11"/>
  <c r="L669" i="11" s="1"/>
  <c r="K1054" i="11"/>
  <c r="L1054" i="11" s="1"/>
  <c r="K158" i="11"/>
  <c r="L158" i="11" s="1"/>
  <c r="K801" i="11"/>
  <c r="L801" i="11" s="1"/>
  <c r="K804" i="11"/>
  <c r="L804" i="11" s="1"/>
  <c r="K497" i="11"/>
  <c r="L497" i="11" s="1"/>
  <c r="K76" i="11"/>
  <c r="L76" i="11" s="1"/>
  <c r="K513" i="11"/>
  <c r="L513" i="11" s="1"/>
  <c r="L346" i="11"/>
  <c r="K1193" i="11"/>
  <c r="L1193" i="11" s="1"/>
  <c r="L605" i="11"/>
  <c r="K1059" i="11"/>
  <c r="L1059" i="11" s="1"/>
  <c r="AW52" i="3"/>
  <c r="AZ52" i="3"/>
  <c r="AU52" i="3"/>
  <c r="BD52" i="3"/>
  <c r="L319" i="11"/>
  <c r="K979" i="11"/>
  <c r="L979" i="11" s="1"/>
  <c r="K352" i="11"/>
  <c r="L352" i="11" s="1"/>
  <c r="K1062" i="11"/>
  <c r="L1062" i="11" s="1"/>
  <c r="K948" i="11"/>
  <c r="L948" i="11" s="1"/>
  <c r="L118" i="11"/>
  <c r="L93" i="11"/>
  <c r="K71" i="11"/>
  <c r="L71" i="11" s="1"/>
  <c r="L1077" i="11"/>
  <c r="L110" i="11"/>
  <c r="K425" i="11"/>
  <c r="L425" i="11" s="1"/>
  <c r="L380" i="11"/>
  <c r="AW10" i="3"/>
  <c r="AU10" i="3"/>
  <c r="K505" i="11"/>
  <c r="L505" i="11" s="1"/>
  <c r="AW9" i="3"/>
  <c r="L349" i="11"/>
  <c r="K586" i="11"/>
  <c r="L586" i="11" s="1"/>
  <c r="L831" i="11"/>
  <c r="K1113" i="11"/>
  <c r="L1113" i="11" s="1"/>
  <c r="AL94" i="3"/>
  <c r="L201" i="11"/>
  <c r="K901" i="11"/>
  <c r="L901" i="11" s="1"/>
  <c r="L494" i="11"/>
  <c r="L473" i="11"/>
  <c r="K672" i="11"/>
  <c r="L672" i="11"/>
  <c r="K745" i="11"/>
  <c r="L745" i="11" s="1"/>
  <c r="K717" i="11"/>
  <c r="L717" i="11" s="1"/>
  <c r="K400" i="11"/>
  <c r="L400" i="11" s="1"/>
  <c r="K886" i="11"/>
  <c r="L886" i="11" s="1"/>
  <c r="K1008" i="11"/>
  <c r="L1008" i="11" s="1"/>
  <c r="L40" i="11"/>
  <c r="K484" i="11"/>
  <c r="L484" i="11" s="1"/>
  <c r="K817" i="11"/>
  <c r="L817" i="11" s="1"/>
  <c r="K403" i="11"/>
  <c r="L403" i="11" s="1"/>
  <c r="K1063" i="11"/>
  <c r="L1063" i="11" s="1"/>
  <c r="L807" i="11"/>
  <c r="K1067" i="11"/>
  <c r="L1067" i="11" s="1"/>
  <c r="K378" i="11"/>
  <c r="L378" i="11" s="1"/>
  <c r="K476" i="11"/>
  <c r="L476" i="11" s="1"/>
  <c r="K68" i="11"/>
  <c r="L68" i="11" s="1"/>
  <c r="K1196" i="11"/>
  <c r="L1196" i="11" s="1"/>
  <c r="K420" i="11"/>
  <c r="L420" i="11" s="1"/>
  <c r="K1058" i="11"/>
  <c r="L1058" i="11" s="1"/>
  <c r="K260" i="11"/>
  <c r="L260" i="11" s="1"/>
  <c r="L431" i="11"/>
  <c r="L696" i="11"/>
  <c r="BD9" i="3"/>
  <c r="K314" i="11"/>
  <c r="L314" i="11" s="1"/>
  <c r="K356" i="11"/>
  <c r="L356" i="11" s="1"/>
  <c r="K909" i="11"/>
  <c r="L909" i="11" s="1"/>
  <c r="K941" i="11"/>
  <c r="L941" i="11" s="1"/>
  <c r="K268" i="11"/>
  <c r="L268" i="11" s="1"/>
  <c r="BN54" i="3"/>
  <c r="V54" i="3" s="1"/>
  <c r="Y54" i="3" s="1"/>
  <c r="Z54" i="3" s="1"/>
  <c r="BL54" i="3"/>
  <c r="BQ54" i="3"/>
  <c r="T54" i="3" s="1"/>
  <c r="AL54" i="3" s="1"/>
  <c r="BO54" i="3"/>
  <c r="W54" i="3" s="1"/>
  <c r="BM54" i="3"/>
  <c r="I54" i="3" s="1"/>
  <c r="BP54" i="3"/>
  <c r="X54" i="3" s="1"/>
  <c r="AT45" i="3"/>
  <c r="L607" i="11"/>
  <c r="K205" i="11"/>
  <c r="L205" i="11" s="1"/>
  <c r="L433" i="11"/>
  <c r="L1081" i="11"/>
  <c r="K999" i="11"/>
  <c r="L999" i="11" s="1"/>
  <c r="L546" i="11"/>
  <c r="L949" i="11"/>
  <c r="L359" i="11"/>
  <c r="K1071" i="11"/>
  <c r="L1071" i="11" s="1"/>
  <c r="L1047" i="11"/>
  <c r="L826" i="11"/>
  <c r="K806" i="11"/>
  <c r="L806" i="11" s="1"/>
  <c r="K808" i="11"/>
  <c r="L808" i="11" s="1"/>
  <c r="L477" i="11"/>
  <c r="K743" i="11"/>
  <c r="L743" i="11" s="1"/>
  <c r="K597" i="11"/>
  <c r="L597" i="11" s="1"/>
  <c r="K1001" i="11"/>
  <c r="L1001" i="11" s="1"/>
  <c r="K1000" i="11"/>
  <c r="L1000" i="11" s="1"/>
  <c r="K555" i="11"/>
  <c r="L555" i="11" s="1"/>
  <c r="K206" i="11"/>
  <c r="L206" i="11" s="1"/>
  <c r="K482" i="11"/>
  <c r="L482" i="11" s="1"/>
  <c r="K486" i="11"/>
  <c r="L486" i="11" s="1"/>
  <c r="K761" i="11"/>
  <c r="L761" i="11" s="1"/>
  <c r="K1194" i="11"/>
  <c r="L1194" i="11" s="1"/>
  <c r="K736" i="11"/>
  <c r="L736" i="11" s="1"/>
  <c r="K112" i="11"/>
  <c r="L112" i="11" s="1"/>
  <c r="K357" i="11"/>
  <c r="L357" i="11" s="1"/>
  <c r="K1066" i="11"/>
  <c r="L1066" i="11" s="1"/>
  <c r="K193" i="11"/>
  <c r="L193" i="11" s="1"/>
  <c r="K691" i="11"/>
  <c r="L691" i="11" s="1"/>
  <c r="L1140" i="11"/>
  <c r="K180" i="11"/>
  <c r="L180" i="11" s="1"/>
  <c r="L52" i="11"/>
  <c r="L756" i="11"/>
  <c r="K94" i="11"/>
  <c r="L94" i="11" s="1"/>
  <c r="K514" i="11"/>
  <c r="L514" i="11" s="1"/>
  <c r="L166" i="11"/>
  <c r="K25" i="11"/>
  <c r="L25" i="11" s="1"/>
  <c r="K72" i="11"/>
  <c r="L72" i="11" s="1"/>
  <c r="K88" i="11"/>
  <c r="L88" i="11" s="1"/>
  <c r="K507" i="11"/>
  <c r="L507" i="11" s="1"/>
  <c r="K266" i="11"/>
  <c r="L266" i="11" s="1"/>
  <c r="AZ4" i="3"/>
  <c r="AZ90" i="3"/>
  <c r="K1118" i="11"/>
  <c r="L1118" i="11" s="1"/>
  <c r="L382" i="11"/>
  <c r="K881" i="11"/>
  <c r="L881" i="11" s="1"/>
  <c r="K501" i="11"/>
  <c r="L501" i="11" s="1"/>
  <c r="K508" i="11"/>
  <c r="L508" i="11" s="1"/>
  <c r="K67" i="11"/>
  <c r="L67" i="11" s="1"/>
  <c r="K1107" i="11"/>
  <c r="L1107" i="11" s="1"/>
  <c r="K432" i="11"/>
  <c r="L432" i="11" s="1"/>
  <c r="K1106" i="11"/>
  <c r="L1106" i="11" s="1"/>
  <c r="L1061" i="11"/>
  <c r="L878" i="11"/>
  <c r="L1065" i="11"/>
  <c r="L623" i="11"/>
  <c r="L1069" i="11"/>
  <c r="K871" i="11"/>
  <c r="L871" i="11" s="1"/>
  <c r="AT81" i="3"/>
  <c r="AW81" i="3" s="1"/>
  <c r="L671" i="11"/>
  <c r="K811" i="11"/>
  <c r="L811" i="11" s="1"/>
  <c r="K749" i="11"/>
  <c r="L749" i="11" s="1"/>
  <c r="K1138" i="11"/>
  <c r="L1138" i="11" s="1"/>
  <c r="L498" i="11"/>
  <c r="L481" i="11"/>
  <c r="K663" i="11"/>
  <c r="L663" i="11" s="1"/>
  <c r="L337" i="11"/>
  <c r="K216" i="11"/>
  <c r="L216" i="11" s="1"/>
  <c r="K156" i="11"/>
  <c r="L156" i="11" s="1"/>
  <c r="K152" i="11"/>
  <c r="L152" i="11" s="1"/>
  <c r="K147" i="11"/>
  <c r="L147" i="11" s="1"/>
  <c r="L44" i="11"/>
  <c r="L144" i="11"/>
  <c r="K113" i="11"/>
  <c r="L113" i="11" s="1"/>
  <c r="K875" i="11"/>
  <c r="L875" i="11" s="1"/>
  <c r="K318" i="11"/>
  <c r="L318" i="11" s="1"/>
  <c r="K744" i="11"/>
  <c r="L744" i="11" s="1"/>
  <c r="K46" i="11"/>
  <c r="L46" i="11" s="1"/>
  <c r="K355" i="11"/>
  <c r="L355" i="11" s="1"/>
  <c r="K374" i="11"/>
  <c r="L374" i="11" s="1"/>
  <c r="K688" i="11"/>
  <c r="L688" i="11" s="1"/>
  <c r="K413" i="11"/>
  <c r="L413" i="11" s="1"/>
  <c r="K911" i="11"/>
  <c r="L911" i="11" s="1"/>
  <c r="L187" i="11"/>
  <c r="K814" i="11"/>
  <c r="L814" i="11" s="1"/>
  <c r="K819" i="11"/>
  <c r="L819" i="11" s="1"/>
  <c r="K822" i="11"/>
  <c r="L822" i="11" s="1"/>
  <c r="K620" i="11"/>
  <c r="L620" i="11" s="1"/>
  <c r="K213" i="11"/>
  <c r="L213" i="11" s="1"/>
  <c r="K154" i="11"/>
  <c r="L154" i="11" s="1"/>
  <c r="K119" i="11"/>
  <c r="L119" i="11" s="1"/>
  <c r="K489" i="11"/>
  <c r="L489" i="11" s="1"/>
  <c r="K280" i="11"/>
  <c r="L280" i="11" s="1"/>
  <c r="BP57" i="3"/>
  <c r="X57" i="3" s="1"/>
  <c r="BQ57" i="3"/>
  <c r="T57" i="3" s="1"/>
  <c r="AN57" i="3" s="1"/>
  <c r="AO57" i="3" s="1"/>
  <c r="BO57" i="3"/>
  <c r="W57" i="3" s="1"/>
  <c r="BM57" i="3"/>
  <c r="I57" i="3" s="1"/>
  <c r="BN57" i="3"/>
  <c r="V57" i="3" s="1"/>
  <c r="Y57" i="3" s="1"/>
  <c r="Z57" i="3" s="1"/>
  <c r="BL103" i="3"/>
  <c r="L262" i="11"/>
  <c r="L889" i="11"/>
  <c r="AT7" i="3"/>
  <c r="AU7" i="3" s="1"/>
  <c r="L215" i="11"/>
  <c r="AU65" i="3"/>
  <c r="L79" i="11"/>
  <c r="L504" i="11"/>
  <c r="L1007" i="11"/>
  <c r="L415" i="11"/>
  <c r="L1056" i="11"/>
  <c r="L945" i="11"/>
  <c r="AZ78" i="3"/>
  <c r="L666" i="11"/>
  <c r="L391" i="11"/>
  <c r="BO103" i="3"/>
  <c r="W103" i="3" s="1"/>
  <c r="L796" i="11"/>
  <c r="BO40" i="3"/>
  <c r="W40" i="3" s="1"/>
  <c r="AH40" i="3" s="1"/>
  <c r="BQ37" i="3"/>
  <c r="T37" i="3" s="1"/>
  <c r="AN37" i="3" s="1"/>
  <c r="AO37" i="3" s="1"/>
  <c r="BP37" i="3"/>
  <c r="X37" i="3" s="1"/>
  <c r="L165" i="11"/>
  <c r="L470" i="11"/>
  <c r="L138" i="11"/>
  <c r="BM28" i="3"/>
  <c r="I28" i="3" s="1"/>
  <c r="AZ65" i="3"/>
  <c r="L308" i="11"/>
  <c r="L38" i="11"/>
  <c r="L14" i="11"/>
  <c r="L1108" i="11"/>
  <c r="L312" i="11"/>
  <c r="L136" i="11"/>
  <c r="L929" i="11"/>
  <c r="L1034" i="11"/>
  <c r="L582" i="11"/>
  <c r="L200" i="11"/>
  <c r="BP103" i="3"/>
  <c r="X103" i="3" s="1"/>
  <c r="L799" i="11"/>
  <c r="L591" i="11"/>
  <c r="L73" i="11"/>
  <c r="BL40" i="3"/>
  <c r="L472" i="11"/>
  <c r="BL28" i="3"/>
  <c r="L145" i="11"/>
  <c r="L1124" i="11"/>
  <c r="BM103" i="3"/>
  <c r="I103" i="3" s="1"/>
  <c r="BN103" i="3"/>
  <c r="V103" i="3" s="1"/>
  <c r="Y103" i="3" s="1"/>
  <c r="L42" i="11"/>
  <c r="L684" i="11"/>
  <c r="L933" i="11"/>
  <c r="L738" i="11"/>
  <c r="L1078" i="11"/>
  <c r="L1040" i="11"/>
  <c r="BP76" i="3"/>
  <c r="X76" i="3" s="1"/>
  <c r="L705" i="11"/>
  <c r="AV96" i="3"/>
  <c r="BD96" i="3" s="1"/>
  <c r="L603" i="11"/>
  <c r="L509" i="11"/>
  <c r="L947" i="11"/>
  <c r="L664" i="11"/>
  <c r="L195" i="11"/>
  <c r="L594" i="11"/>
  <c r="BM40" i="3"/>
  <c r="I40" i="3" s="1"/>
  <c r="L479" i="11"/>
  <c r="BN28" i="3"/>
  <c r="V28" i="3" s="1"/>
  <c r="Y28" i="3" s="1"/>
  <c r="L140" i="11"/>
  <c r="L344" i="11"/>
  <c r="BL76" i="3"/>
  <c r="AT91" i="3"/>
  <c r="AV91" i="3"/>
  <c r="AH38" i="3"/>
  <c r="L618" i="11"/>
  <c r="AL101" i="3"/>
  <c r="L982" i="11"/>
  <c r="L735" i="11"/>
  <c r="BO76" i="3"/>
  <c r="W76" i="3" s="1"/>
  <c r="L1201" i="11"/>
  <c r="L1005" i="11"/>
  <c r="L674" i="11"/>
  <c r="L930" i="11"/>
  <c r="L742" i="11"/>
  <c r="L1070" i="11"/>
  <c r="L686" i="11"/>
  <c r="L1135" i="11"/>
  <c r="L53" i="11"/>
  <c r="L1044" i="11"/>
  <c r="L419" i="11"/>
  <c r="L939" i="11"/>
  <c r="BM89" i="3"/>
  <c r="I89" i="3" s="1"/>
  <c r="L202" i="11"/>
  <c r="L824" i="11"/>
  <c r="BN40" i="3"/>
  <c r="V40" i="3" s="1"/>
  <c r="Y40" i="3" s="1"/>
  <c r="Z40" i="3" s="1"/>
  <c r="AZ74" i="3"/>
  <c r="L284" i="11"/>
  <c r="BO28" i="3"/>
  <c r="W28" i="3" s="1"/>
  <c r="AC28" i="3" s="1"/>
  <c r="BD14" i="3"/>
  <c r="BM44" i="3"/>
  <c r="I44" i="3" s="1"/>
  <c r="L274" i="11"/>
  <c r="I27" i="2"/>
  <c r="Z17" i="3"/>
  <c r="L545" i="11"/>
  <c r="L1192" i="11"/>
  <c r="L428" i="11"/>
  <c r="L430" i="11"/>
  <c r="L876" i="11"/>
  <c r="L1185" i="11"/>
  <c r="L1200" i="11"/>
  <c r="L423" i="11"/>
  <c r="L932" i="11"/>
  <c r="L1189" i="11"/>
  <c r="L1110" i="11"/>
  <c r="BL81" i="3"/>
  <c r="L838" i="11"/>
  <c r="L1037" i="11"/>
  <c r="L411" i="11"/>
  <c r="L706" i="11"/>
  <c r="L581" i="11"/>
  <c r="AY71" i="3"/>
  <c r="L611" i="11"/>
  <c r="L985" i="11"/>
  <c r="L304" i="11"/>
  <c r="L407" i="11"/>
  <c r="L333" i="11"/>
  <c r="L1014" i="11"/>
  <c r="L383" i="11"/>
  <c r="L208" i="11"/>
  <c r="BP17" i="3"/>
  <c r="X17" i="3" s="1"/>
  <c r="L23" i="11"/>
  <c r="L347" i="11"/>
  <c r="L587" i="11"/>
  <c r="L170" i="11"/>
  <c r="L1019" i="11"/>
  <c r="L376" i="11"/>
  <c r="L214" i="11"/>
  <c r="BQ17" i="3"/>
  <c r="T17" i="3" s="1"/>
  <c r="AZ97" i="3"/>
  <c r="AZ60" i="3"/>
  <c r="L172" i="11"/>
  <c r="AT25" i="3"/>
  <c r="AW25" i="3" s="1"/>
  <c r="AY44" i="3"/>
  <c r="L176" i="11"/>
  <c r="AZ88" i="3"/>
  <c r="AY17" i="3"/>
  <c r="BP101" i="3"/>
  <c r="X101" i="3" s="1"/>
  <c r="AI101" i="3" s="1"/>
  <c r="AJ101" i="3" s="1"/>
  <c r="AK101" i="3" s="1"/>
  <c r="AV59" i="3"/>
  <c r="AT59" i="3"/>
  <c r="AW71" i="3"/>
  <c r="AU71" i="3"/>
  <c r="L37" i="11"/>
  <c r="L1151" i="11"/>
  <c r="AZ37" i="3"/>
  <c r="L27" i="11"/>
  <c r="AZ26" i="3"/>
  <c r="AZ71" i="3"/>
  <c r="L1176" i="11"/>
  <c r="L755" i="11"/>
  <c r="L725" i="11"/>
  <c r="L34" i="11"/>
  <c r="AV34" i="3"/>
  <c r="AT34" i="3"/>
  <c r="L787" i="11"/>
  <c r="L1179" i="11"/>
  <c r="L606" i="11"/>
  <c r="L728" i="11"/>
  <c r="L404" i="11"/>
  <c r="L552" i="11"/>
  <c r="L1155" i="11"/>
  <c r="L723" i="11"/>
  <c r="L548" i="11"/>
  <c r="L789" i="11"/>
  <c r="L1191" i="11"/>
  <c r="L424" i="11"/>
  <c r="L1162" i="11"/>
  <c r="L891" i="11"/>
  <c r="L1036" i="11"/>
  <c r="L783" i="11"/>
  <c r="BP96" i="3"/>
  <c r="X96" i="3" s="1"/>
  <c r="L707" i="11"/>
  <c r="L1089" i="11"/>
  <c r="L976" i="11"/>
  <c r="L747" i="11"/>
  <c r="L303" i="11"/>
  <c r="L731" i="11"/>
  <c r="L401" i="11"/>
  <c r="L336" i="11"/>
  <c r="L440" i="11"/>
  <c r="AU85" i="3"/>
  <c r="AW85" i="3"/>
  <c r="AU86" i="3"/>
  <c r="AW86" i="3"/>
  <c r="L963" i="11"/>
  <c r="L305" i="11"/>
  <c r="L49" i="11"/>
  <c r="AW18" i="3"/>
  <c r="AU18" i="3"/>
  <c r="L1172" i="11"/>
  <c r="L1112" i="11"/>
  <c r="L785" i="11"/>
  <c r="AU11" i="3"/>
  <c r="L1168" i="11"/>
  <c r="L1146" i="11"/>
  <c r="L830" i="11"/>
  <c r="L926" i="11"/>
  <c r="L834" i="11"/>
  <c r="L790" i="11"/>
  <c r="L321" i="11"/>
  <c r="L583" i="11"/>
  <c r="L1087" i="11"/>
  <c r="L977" i="11"/>
  <c r="L754" i="11"/>
  <c r="L307" i="11"/>
  <c r="L398" i="11"/>
  <c r="L237" i="11"/>
  <c r="L332" i="11"/>
  <c r="BM17" i="3"/>
  <c r="I17" i="3" s="1"/>
  <c r="L21" i="11"/>
  <c r="L339" i="11"/>
  <c r="BD4" i="3"/>
  <c r="L543" i="11"/>
  <c r="L544" i="11"/>
  <c r="L1126" i="11"/>
  <c r="L1170" i="11"/>
  <c r="L1173" i="11"/>
  <c r="L1157" i="11"/>
  <c r="L1195" i="11"/>
  <c r="L1161" i="11"/>
  <c r="L899" i="11"/>
  <c r="L832" i="11"/>
  <c r="L786" i="11"/>
  <c r="L1165" i="11"/>
  <c r="L815" i="11"/>
  <c r="L836" i="11"/>
  <c r="L325" i="11"/>
  <c r="L703" i="11"/>
  <c r="L578" i="11"/>
  <c r="L1088" i="11"/>
  <c r="L608" i="11"/>
  <c r="L981" i="11"/>
  <c r="L309" i="11"/>
  <c r="L405" i="11"/>
  <c r="L241" i="11"/>
  <c r="L328" i="11"/>
  <c r="L16" i="11"/>
  <c r="L343" i="11"/>
  <c r="AU4" i="3"/>
  <c r="AW4" i="3"/>
  <c r="N453" i="11"/>
  <c r="J453" i="11"/>
  <c r="I453" i="11"/>
  <c r="K1103" i="11"/>
  <c r="L1103" i="11" s="1"/>
  <c r="N1090" i="11"/>
  <c r="J1090" i="11"/>
  <c r="I1090" i="11"/>
  <c r="I454" i="11"/>
  <c r="J454" i="11"/>
  <c r="N454" i="11"/>
  <c r="N1035" i="11"/>
  <c r="J1035" i="11"/>
  <c r="I1035" i="11"/>
  <c r="N1083" i="11"/>
  <c r="I1083" i="11"/>
  <c r="J1083" i="11"/>
  <c r="J455" i="11"/>
  <c r="I455" i="11"/>
  <c r="N455" i="11"/>
  <c r="J1115" i="11"/>
  <c r="I1115" i="11"/>
  <c r="N1115" i="11"/>
  <c r="N1074" i="11"/>
  <c r="J1074" i="11"/>
  <c r="I1074" i="11"/>
  <c r="K448" i="11"/>
  <c r="L448" i="11" s="1"/>
  <c r="J845" i="11"/>
  <c r="I845" i="11"/>
  <c r="N845" i="11"/>
  <c r="N1167" i="11"/>
  <c r="I1167" i="11"/>
  <c r="J1167" i="11"/>
  <c r="I1080" i="11"/>
  <c r="N1080" i="11"/>
  <c r="J1080" i="11"/>
  <c r="N843" i="11"/>
  <c r="J843" i="11"/>
  <c r="I843" i="11"/>
  <c r="J839" i="11"/>
  <c r="I839" i="11"/>
  <c r="N839" i="11"/>
  <c r="L1114" i="11"/>
  <c r="N1093" i="11"/>
  <c r="J1093" i="11"/>
  <c r="I1093" i="11"/>
  <c r="L1075" i="11"/>
  <c r="N1034" i="11"/>
  <c r="J1034" i="11"/>
  <c r="I1034" i="11"/>
  <c r="K632" i="11"/>
  <c r="L632" i="11" s="1"/>
  <c r="N1143" i="11"/>
  <c r="J1143" i="11"/>
  <c r="I1143" i="11"/>
  <c r="L936" i="11"/>
  <c r="N1155" i="11"/>
  <c r="J1155" i="11"/>
  <c r="I1155" i="11"/>
  <c r="AT100" i="3"/>
  <c r="AV100" i="3"/>
  <c r="L1156" i="11"/>
  <c r="L1074" i="11"/>
  <c r="J1075" i="11"/>
  <c r="I1075" i="11"/>
  <c r="N1075" i="11"/>
  <c r="J842" i="11"/>
  <c r="N842" i="11"/>
  <c r="I842" i="11"/>
  <c r="N791" i="11"/>
  <c r="J791" i="11"/>
  <c r="I791" i="11"/>
  <c r="AO101" i="3"/>
  <c r="L877" i="11"/>
  <c r="L1178" i="11"/>
  <c r="K1099" i="11"/>
  <c r="L1099" i="11" s="1"/>
  <c r="J1102" i="11"/>
  <c r="I1102" i="11"/>
  <c r="N1102" i="11"/>
  <c r="I1165" i="11"/>
  <c r="N1165" i="11"/>
  <c r="J1165" i="11"/>
  <c r="L1116" i="11"/>
  <c r="L1167" i="11"/>
  <c r="L1158" i="11"/>
  <c r="AM85" i="3"/>
  <c r="BK85" i="3"/>
  <c r="L841" i="11"/>
  <c r="L1043" i="11"/>
  <c r="L784" i="11"/>
  <c r="AU43" i="3"/>
  <c r="AW43" i="3"/>
  <c r="AZ43" i="3"/>
  <c r="N449" i="11"/>
  <c r="J449" i="11"/>
  <c r="I449" i="11"/>
  <c r="J848" i="11"/>
  <c r="N848" i="11"/>
  <c r="I848" i="11"/>
  <c r="N783" i="11"/>
  <c r="J783" i="11"/>
  <c r="I783" i="11"/>
  <c r="I787" i="11"/>
  <c r="J787" i="11"/>
  <c r="N787" i="11"/>
  <c r="N469" i="11"/>
  <c r="J469" i="11"/>
  <c r="I469" i="11"/>
  <c r="N866" i="11"/>
  <c r="J866" i="11"/>
  <c r="I866" i="11"/>
  <c r="J871" i="11"/>
  <c r="I871" i="11"/>
  <c r="N871" i="11"/>
  <c r="L588" i="11"/>
  <c r="J1150" i="11"/>
  <c r="I1150" i="11"/>
  <c r="N1150" i="11"/>
  <c r="I1144" i="11"/>
  <c r="N1144" i="11"/>
  <c r="J1144" i="11"/>
  <c r="AT94" i="3"/>
  <c r="AV94" i="3"/>
  <c r="AY94" i="3" s="1"/>
  <c r="K956" i="11"/>
  <c r="L956" i="11" s="1"/>
  <c r="J926" i="11"/>
  <c r="I926" i="11"/>
  <c r="N926" i="11"/>
  <c r="L1144" i="11"/>
  <c r="N986" i="11"/>
  <c r="J986" i="11"/>
  <c r="I986" i="11"/>
  <c r="I988" i="11"/>
  <c r="N988" i="11"/>
  <c r="J988" i="11"/>
  <c r="L1090" i="11"/>
  <c r="J647" i="11"/>
  <c r="N647" i="11"/>
  <c r="I647" i="11"/>
  <c r="N1180" i="11"/>
  <c r="J1180" i="11"/>
  <c r="I1180" i="11"/>
  <c r="L962" i="11"/>
  <c r="I859" i="11"/>
  <c r="J859" i="11"/>
  <c r="N859" i="11"/>
  <c r="L1025" i="11"/>
  <c r="K530" i="11"/>
  <c r="L530" i="11" s="1"/>
  <c r="K534" i="11"/>
  <c r="L534" i="11" s="1"/>
  <c r="K365" i="11"/>
  <c r="L365" i="11" s="1"/>
  <c r="J1118" i="11"/>
  <c r="I1118" i="11"/>
  <c r="N1118" i="11"/>
  <c r="N729" i="11"/>
  <c r="J729" i="11"/>
  <c r="I729" i="11"/>
  <c r="N978" i="11"/>
  <c r="J978" i="11"/>
  <c r="I978" i="11"/>
  <c r="N983" i="11"/>
  <c r="J983" i="11"/>
  <c r="I983" i="11"/>
  <c r="J811" i="11"/>
  <c r="I811" i="11"/>
  <c r="N811" i="11"/>
  <c r="L647" i="11"/>
  <c r="N412" i="11"/>
  <c r="J412" i="11"/>
  <c r="I412" i="11"/>
  <c r="I414" i="11"/>
  <c r="N414" i="11"/>
  <c r="J414" i="11"/>
  <c r="J359" i="11"/>
  <c r="I359" i="11"/>
  <c r="N359" i="11"/>
  <c r="N360" i="11"/>
  <c r="I360" i="11"/>
  <c r="J360" i="11"/>
  <c r="N237" i="11"/>
  <c r="J237" i="11"/>
  <c r="I237" i="11"/>
  <c r="K231" i="11"/>
  <c r="L231" i="11" s="1"/>
  <c r="N103" i="11"/>
  <c r="J103" i="11"/>
  <c r="I103" i="11"/>
  <c r="N1067" i="11"/>
  <c r="J1067" i="11"/>
  <c r="I1067" i="11"/>
  <c r="J671" i="11"/>
  <c r="N671" i="11"/>
  <c r="I671" i="11"/>
  <c r="L651" i="11"/>
  <c r="J836" i="11"/>
  <c r="I836" i="11"/>
  <c r="N836" i="11"/>
  <c r="N1116" i="11"/>
  <c r="J1116" i="11"/>
  <c r="I1116" i="11"/>
  <c r="N782" i="11"/>
  <c r="J782" i="11"/>
  <c r="I782" i="11"/>
  <c r="I790" i="11"/>
  <c r="N790" i="11"/>
  <c r="J790" i="11"/>
  <c r="K468" i="11"/>
  <c r="L468" i="11" s="1"/>
  <c r="J459" i="11"/>
  <c r="I459" i="11"/>
  <c r="N459" i="11"/>
  <c r="I458" i="11"/>
  <c r="N458" i="11"/>
  <c r="J458" i="11"/>
  <c r="J874" i="11"/>
  <c r="I874" i="11"/>
  <c r="N874" i="11"/>
  <c r="K628" i="11"/>
  <c r="L628" i="11" s="1"/>
  <c r="J543" i="11"/>
  <c r="I543" i="11"/>
  <c r="N543" i="11"/>
  <c r="N1148" i="11"/>
  <c r="J1148" i="11"/>
  <c r="I1148" i="11"/>
  <c r="AW92" i="3"/>
  <c r="AU92" i="3"/>
  <c r="K951" i="11"/>
  <c r="L951" i="11" s="1"/>
  <c r="J958" i="11"/>
  <c r="I958" i="11"/>
  <c r="N958" i="11"/>
  <c r="N928" i="11"/>
  <c r="J928" i="11"/>
  <c r="I928" i="11"/>
  <c r="N989" i="11"/>
  <c r="J989" i="11"/>
  <c r="I989" i="11"/>
  <c r="N1184" i="11"/>
  <c r="I1184" i="11"/>
  <c r="J1184" i="11"/>
  <c r="I661" i="11"/>
  <c r="N661" i="11"/>
  <c r="J661" i="11"/>
  <c r="J655" i="11"/>
  <c r="N655" i="11"/>
  <c r="I655" i="11"/>
  <c r="I964" i="11"/>
  <c r="J964" i="11"/>
  <c r="N964" i="11"/>
  <c r="J914" i="11"/>
  <c r="I914" i="11"/>
  <c r="N914" i="11"/>
  <c r="J862" i="11"/>
  <c r="I862" i="11"/>
  <c r="N862" i="11"/>
  <c r="L1029" i="11"/>
  <c r="J772" i="11"/>
  <c r="I772" i="11"/>
  <c r="N772" i="11"/>
  <c r="N533" i="11"/>
  <c r="J533" i="11"/>
  <c r="I533" i="11"/>
  <c r="J1198" i="11"/>
  <c r="I1198" i="11"/>
  <c r="N1198" i="11"/>
  <c r="L992" i="11"/>
  <c r="I898" i="11"/>
  <c r="N898" i="11"/>
  <c r="J898" i="11"/>
  <c r="AL97" i="3"/>
  <c r="AN97" i="3"/>
  <c r="AO97" i="3" s="1"/>
  <c r="L850" i="11"/>
  <c r="I722" i="11"/>
  <c r="N722" i="11"/>
  <c r="J722" i="11"/>
  <c r="N733" i="11"/>
  <c r="J733" i="11"/>
  <c r="I733" i="11"/>
  <c r="K443" i="11"/>
  <c r="L443" i="11" s="1"/>
  <c r="N437" i="11"/>
  <c r="J437" i="11"/>
  <c r="I437" i="11"/>
  <c r="K442" i="11"/>
  <c r="L442" i="11" s="1"/>
  <c r="N226" i="11"/>
  <c r="J226" i="11"/>
  <c r="I226" i="11"/>
  <c r="N173" i="11"/>
  <c r="J173" i="11"/>
  <c r="I173" i="11"/>
  <c r="J981" i="11"/>
  <c r="I981" i="11"/>
  <c r="N981" i="11"/>
  <c r="BN81" i="3"/>
  <c r="V81" i="3" s="1"/>
  <c r="Y81" i="3" s="1"/>
  <c r="N806" i="11"/>
  <c r="J806" i="11"/>
  <c r="I806" i="11"/>
  <c r="N814" i="11"/>
  <c r="J814" i="11"/>
  <c r="I814" i="11"/>
  <c r="J808" i="11"/>
  <c r="I808" i="11"/>
  <c r="N808" i="11"/>
  <c r="N748" i="11"/>
  <c r="J748" i="11"/>
  <c r="I748" i="11"/>
  <c r="N568" i="11"/>
  <c r="J568" i="11"/>
  <c r="I568" i="11"/>
  <c r="BO96" i="3"/>
  <c r="W96" i="3" s="1"/>
  <c r="AM45" i="3"/>
  <c r="BK45" i="3"/>
  <c r="J419" i="11"/>
  <c r="I419" i="11"/>
  <c r="N419" i="11"/>
  <c r="I418" i="11"/>
  <c r="J418" i="11"/>
  <c r="N418" i="11"/>
  <c r="N230" i="11"/>
  <c r="J230" i="11"/>
  <c r="I230" i="11"/>
  <c r="K232" i="11"/>
  <c r="L232" i="11" s="1"/>
  <c r="K106" i="11"/>
  <c r="L106" i="11" s="1"/>
  <c r="N106" i="11"/>
  <c r="J106" i="11"/>
  <c r="I106" i="11"/>
  <c r="K104" i="11"/>
  <c r="L104" i="11" s="1"/>
  <c r="K31" i="11"/>
  <c r="L31" i="11" s="1"/>
  <c r="K36" i="11"/>
  <c r="L36" i="11" s="1"/>
  <c r="AM43" i="3"/>
  <c r="BK43" i="3"/>
  <c r="I305" i="11"/>
  <c r="N305" i="11"/>
  <c r="J305" i="11"/>
  <c r="K302" i="11"/>
  <c r="L302" i="11" s="1"/>
  <c r="N303" i="11"/>
  <c r="J303" i="11"/>
  <c r="I303" i="11"/>
  <c r="N662" i="11"/>
  <c r="J662" i="11"/>
  <c r="I662" i="11"/>
  <c r="L658" i="11"/>
  <c r="BK88" i="3"/>
  <c r="AM88" i="3"/>
  <c r="N456" i="11"/>
  <c r="J456" i="11"/>
  <c r="I456" i="11"/>
  <c r="N457" i="11"/>
  <c r="J457" i="11"/>
  <c r="I457" i="11"/>
  <c r="I450" i="11"/>
  <c r="N450" i="11"/>
  <c r="J450" i="11"/>
  <c r="J1166" i="11"/>
  <c r="I1166" i="11"/>
  <c r="N1166" i="11"/>
  <c r="N1107" i="11"/>
  <c r="J1107" i="11"/>
  <c r="I1107" i="11"/>
  <c r="N1041" i="11"/>
  <c r="J1041" i="11"/>
  <c r="I1041" i="11"/>
  <c r="I789" i="11"/>
  <c r="N789" i="11"/>
  <c r="J789" i="11"/>
  <c r="I785" i="11"/>
  <c r="N785" i="11"/>
  <c r="J785" i="11"/>
  <c r="I793" i="11"/>
  <c r="J793" i="11"/>
  <c r="N793" i="11"/>
  <c r="I784" i="11"/>
  <c r="J784" i="11"/>
  <c r="N784" i="11"/>
  <c r="J463" i="11"/>
  <c r="I463" i="11"/>
  <c r="N463" i="11"/>
  <c r="N462" i="11"/>
  <c r="I462" i="11"/>
  <c r="J462" i="11"/>
  <c r="AL76" i="3"/>
  <c r="AN76" i="3"/>
  <c r="AO76" i="3" s="1"/>
  <c r="N867" i="11"/>
  <c r="J867" i="11"/>
  <c r="I867" i="11"/>
  <c r="N630" i="11"/>
  <c r="J630" i="11"/>
  <c r="I630" i="11"/>
  <c r="I629" i="11"/>
  <c r="N629" i="11"/>
  <c r="J629" i="11"/>
  <c r="K637" i="11"/>
  <c r="L637" i="11" s="1"/>
  <c r="J548" i="11"/>
  <c r="I548" i="11"/>
  <c r="N548" i="11"/>
  <c r="N553" i="11"/>
  <c r="I553" i="11"/>
  <c r="J553" i="11"/>
  <c r="N547" i="11"/>
  <c r="J547" i="11"/>
  <c r="I547" i="11"/>
  <c r="J1152" i="11"/>
  <c r="N1152" i="11"/>
  <c r="I1152" i="11"/>
  <c r="K954" i="11"/>
  <c r="L954" i="11" s="1"/>
  <c r="J961" i="11"/>
  <c r="I961" i="11"/>
  <c r="N961" i="11"/>
  <c r="N951" i="11"/>
  <c r="J951" i="11"/>
  <c r="I951" i="11"/>
  <c r="N935" i="11"/>
  <c r="J935" i="11"/>
  <c r="I935" i="11"/>
  <c r="I992" i="11"/>
  <c r="N992" i="11"/>
  <c r="J992" i="11"/>
  <c r="N645" i="11"/>
  <c r="J645" i="11"/>
  <c r="I645" i="11"/>
  <c r="N1188" i="11"/>
  <c r="J1188" i="11"/>
  <c r="I1188" i="11"/>
  <c r="I658" i="11"/>
  <c r="N658" i="11"/>
  <c r="J658" i="11"/>
  <c r="L966" i="11"/>
  <c r="J916" i="11"/>
  <c r="I916" i="11"/>
  <c r="N916" i="11"/>
  <c r="K865" i="11"/>
  <c r="L865" i="11" s="1"/>
  <c r="L1033" i="11"/>
  <c r="BK84" i="3"/>
  <c r="AM84" i="3"/>
  <c r="J776" i="11"/>
  <c r="I776" i="11"/>
  <c r="N776" i="11"/>
  <c r="J540" i="11"/>
  <c r="I540" i="11"/>
  <c r="N540" i="11"/>
  <c r="K537" i="11"/>
  <c r="L537" i="11" s="1"/>
  <c r="K541" i="11"/>
  <c r="L541" i="11" s="1"/>
  <c r="L995" i="11"/>
  <c r="BK67" i="3"/>
  <c r="AM67" i="3"/>
  <c r="K526" i="11"/>
  <c r="L526" i="11" s="1"/>
  <c r="J518" i="11"/>
  <c r="I518" i="11"/>
  <c r="N518" i="11"/>
  <c r="N523" i="11"/>
  <c r="J523" i="11"/>
  <c r="I523" i="11"/>
  <c r="I430" i="11"/>
  <c r="N430" i="11"/>
  <c r="J430" i="11"/>
  <c r="I325" i="11"/>
  <c r="N325" i="11"/>
  <c r="J325" i="11"/>
  <c r="N368" i="11"/>
  <c r="J368" i="11"/>
  <c r="I368" i="11"/>
  <c r="N369" i="11"/>
  <c r="J369" i="11"/>
  <c r="I369" i="11"/>
  <c r="N1121" i="11"/>
  <c r="J1121" i="11"/>
  <c r="I1121" i="11"/>
  <c r="L852" i="11"/>
  <c r="N724" i="11"/>
  <c r="J724" i="11"/>
  <c r="I724" i="11"/>
  <c r="I730" i="11"/>
  <c r="N730" i="11"/>
  <c r="J730" i="11"/>
  <c r="K445" i="11"/>
  <c r="L445" i="11" s="1"/>
  <c r="J439" i="11"/>
  <c r="I439" i="11"/>
  <c r="N439" i="11"/>
  <c r="N441" i="11"/>
  <c r="J441" i="11"/>
  <c r="I441" i="11"/>
  <c r="L177" i="11"/>
  <c r="J228" i="11"/>
  <c r="I228" i="11"/>
  <c r="N228" i="11"/>
  <c r="J180" i="11"/>
  <c r="I180" i="11"/>
  <c r="N180" i="11"/>
  <c r="I984" i="11"/>
  <c r="J984" i="11"/>
  <c r="N984" i="11"/>
  <c r="I809" i="11"/>
  <c r="N809" i="11"/>
  <c r="J809" i="11"/>
  <c r="I817" i="11"/>
  <c r="N817" i="11"/>
  <c r="J817" i="11"/>
  <c r="N812" i="11"/>
  <c r="J812" i="11"/>
  <c r="I812" i="11"/>
  <c r="I752" i="11"/>
  <c r="J752" i="11"/>
  <c r="N752" i="11"/>
  <c r="K575" i="11"/>
  <c r="L575" i="11" s="1"/>
  <c r="J566" i="11"/>
  <c r="N566" i="11"/>
  <c r="I566" i="11"/>
  <c r="I1133" i="11"/>
  <c r="N1133" i="11"/>
  <c r="J1133" i="11"/>
  <c r="N234" i="11"/>
  <c r="J234" i="11"/>
  <c r="I234" i="11"/>
  <c r="K235" i="11"/>
  <c r="L235" i="11" s="1"/>
  <c r="K109" i="11"/>
  <c r="L109" i="11" s="1"/>
  <c r="N27" i="11"/>
  <c r="J27" i="11"/>
  <c r="I27" i="11"/>
  <c r="I1060" i="11"/>
  <c r="J1060" i="11"/>
  <c r="N1060" i="11"/>
  <c r="L920" i="11"/>
  <c r="J669" i="11"/>
  <c r="N669" i="11"/>
  <c r="I669" i="11"/>
  <c r="L661" i="11"/>
  <c r="N846" i="11"/>
  <c r="J846" i="11"/>
  <c r="I846" i="11"/>
  <c r="N788" i="11"/>
  <c r="J788" i="11"/>
  <c r="I788" i="11"/>
  <c r="K465" i="11"/>
  <c r="L465" i="11" s="1"/>
  <c r="K467" i="11"/>
  <c r="L467" i="11" s="1"/>
  <c r="N466" i="11"/>
  <c r="I466" i="11"/>
  <c r="J466" i="11"/>
  <c r="N875" i="11"/>
  <c r="J875" i="11"/>
  <c r="I875" i="11"/>
  <c r="I870" i="11"/>
  <c r="J870" i="11"/>
  <c r="N870" i="11"/>
  <c r="J637" i="11"/>
  <c r="I637" i="11"/>
  <c r="N637" i="11"/>
  <c r="L579" i="11"/>
  <c r="N551" i="11"/>
  <c r="J551" i="11"/>
  <c r="I551" i="11"/>
  <c r="K957" i="11"/>
  <c r="L957" i="11" s="1"/>
  <c r="I952" i="11"/>
  <c r="J952" i="11"/>
  <c r="N952" i="11"/>
  <c r="J955" i="11"/>
  <c r="I955" i="11"/>
  <c r="N955" i="11"/>
  <c r="N929" i="11"/>
  <c r="J929" i="11"/>
  <c r="I929" i="11"/>
  <c r="L1142" i="11"/>
  <c r="J987" i="11"/>
  <c r="I987" i="11"/>
  <c r="N987" i="11"/>
  <c r="L1085" i="11"/>
  <c r="I649" i="11"/>
  <c r="N649" i="11"/>
  <c r="J649" i="11"/>
  <c r="N656" i="11"/>
  <c r="J656" i="11"/>
  <c r="I656" i="11"/>
  <c r="L968" i="11"/>
  <c r="K917" i="11"/>
  <c r="L917" i="11" s="1"/>
  <c r="N923" i="11"/>
  <c r="J923" i="11"/>
  <c r="I923" i="11"/>
  <c r="K922" i="11"/>
  <c r="L922" i="11" s="1"/>
  <c r="K856" i="11"/>
  <c r="L856" i="11" s="1"/>
  <c r="J775" i="11"/>
  <c r="I775" i="11"/>
  <c r="N775" i="11"/>
  <c r="N780" i="11"/>
  <c r="J780" i="11"/>
  <c r="I780" i="11"/>
  <c r="AD38" i="3"/>
  <c r="AE38" i="3" s="1"/>
  <c r="AF38" i="3" s="1"/>
  <c r="AI38" i="3"/>
  <c r="AJ38" i="3" s="1"/>
  <c r="AK38" i="3" s="1"/>
  <c r="L986" i="11"/>
  <c r="N892" i="11"/>
  <c r="J892" i="11"/>
  <c r="I892" i="11"/>
  <c r="J897" i="11"/>
  <c r="I897" i="11"/>
  <c r="N897" i="11"/>
  <c r="N525" i="11"/>
  <c r="J525" i="11"/>
  <c r="I525" i="11"/>
  <c r="J527" i="11"/>
  <c r="I527" i="11"/>
  <c r="N527" i="11"/>
  <c r="J363" i="11"/>
  <c r="I363" i="11"/>
  <c r="N363" i="11"/>
  <c r="N373" i="11"/>
  <c r="J373" i="11"/>
  <c r="I373" i="11"/>
  <c r="L846" i="11"/>
  <c r="L730" i="11"/>
  <c r="N706" i="11"/>
  <c r="J706" i="11"/>
  <c r="I706" i="11"/>
  <c r="J435" i="11"/>
  <c r="I435" i="11"/>
  <c r="N435" i="11"/>
  <c r="K439" i="11"/>
  <c r="L439" i="11" s="1"/>
  <c r="N445" i="11"/>
  <c r="J445" i="11"/>
  <c r="I445" i="11"/>
  <c r="K222" i="11"/>
  <c r="L222" i="11" s="1"/>
  <c r="I976" i="11"/>
  <c r="N976" i="11"/>
  <c r="J976" i="11"/>
  <c r="BP48" i="3"/>
  <c r="X48" i="3" s="1"/>
  <c r="BN48" i="3"/>
  <c r="V48" i="3" s="1"/>
  <c r="Y48" i="3" s="1"/>
  <c r="Z48" i="3" s="1"/>
  <c r="BQ48" i="3"/>
  <c r="T48" i="3" s="1"/>
  <c r="BL48" i="3"/>
  <c r="N807" i="11"/>
  <c r="J807" i="11"/>
  <c r="I807" i="11"/>
  <c r="I816" i="11"/>
  <c r="N816" i="11"/>
  <c r="J816" i="11"/>
  <c r="I746" i="11"/>
  <c r="J746" i="11"/>
  <c r="N746" i="11"/>
  <c r="N756" i="11"/>
  <c r="J756" i="11"/>
  <c r="I756" i="11"/>
  <c r="I1137" i="11"/>
  <c r="J1137" i="11"/>
  <c r="N1137" i="11"/>
  <c r="N238" i="11"/>
  <c r="J238" i="11"/>
  <c r="I238" i="11"/>
  <c r="K236" i="11"/>
  <c r="L236" i="11" s="1"/>
  <c r="N185" i="11"/>
  <c r="J185" i="11"/>
  <c r="I185" i="11"/>
  <c r="N100" i="11"/>
  <c r="J100" i="11"/>
  <c r="I100" i="11"/>
  <c r="N34" i="11"/>
  <c r="J34" i="11"/>
  <c r="I34" i="11"/>
  <c r="K29" i="11"/>
  <c r="L29" i="11" s="1"/>
  <c r="N1062" i="11"/>
  <c r="J1062" i="11"/>
  <c r="I1062" i="11"/>
  <c r="AW74" i="3"/>
  <c r="AU74" i="3"/>
  <c r="BD74" i="3"/>
  <c r="L918" i="11"/>
  <c r="L652" i="11"/>
  <c r="N792" i="11"/>
  <c r="J792" i="11"/>
  <c r="I792" i="11"/>
  <c r="N632" i="11"/>
  <c r="I632" i="11"/>
  <c r="J632" i="11"/>
  <c r="K627" i="11"/>
  <c r="L627" i="11" s="1"/>
  <c r="N950" i="11"/>
  <c r="I950" i="11"/>
  <c r="J950" i="11"/>
  <c r="K960" i="11"/>
  <c r="L960" i="11" s="1"/>
  <c r="K955" i="11"/>
  <c r="L955" i="11" s="1"/>
  <c r="N959" i="11"/>
  <c r="J959" i="11"/>
  <c r="I959" i="11"/>
  <c r="N933" i="11"/>
  <c r="J933" i="11"/>
  <c r="I933" i="11"/>
  <c r="K987" i="11"/>
  <c r="L987" i="11" s="1"/>
  <c r="N991" i="11"/>
  <c r="J991" i="11"/>
  <c r="I991" i="11"/>
  <c r="J659" i="11"/>
  <c r="N659" i="11"/>
  <c r="I659" i="11"/>
  <c r="L971" i="11"/>
  <c r="K859" i="11"/>
  <c r="L859" i="11" s="1"/>
  <c r="BD90" i="3"/>
  <c r="BD78" i="3"/>
  <c r="AW78" i="3"/>
  <c r="AU78" i="3"/>
  <c r="J770" i="11"/>
  <c r="I770" i="11"/>
  <c r="N770" i="11"/>
  <c r="J778" i="11"/>
  <c r="I778" i="11"/>
  <c r="N778" i="11"/>
  <c r="BK66" i="3"/>
  <c r="AM66" i="3"/>
  <c r="J1194" i="11"/>
  <c r="I1194" i="11"/>
  <c r="N1194" i="11"/>
  <c r="N1201" i="11"/>
  <c r="J1201" i="11"/>
  <c r="I1201" i="11"/>
  <c r="L988" i="11"/>
  <c r="N895" i="11"/>
  <c r="J895" i="11"/>
  <c r="I895" i="11"/>
  <c r="I891" i="11"/>
  <c r="N891" i="11"/>
  <c r="J891" i="11"/>
  <c r="N901" i="11"/>
  <c r="J901" i="11"/>
  <c r="I901" i="11"/>
  <c r="K519" i="11"/>
  <c r="L519" i="11" s="1"/>
  <c r="N314" i="11"/>
  <c r="J314" i="11"/>
  <c r="I314" i="11"/>
  <c r="N364" i="11"/>
  <c r="J364" i="11"/>
  <c r="I364" i="11"/>
  <c r="N362" i="11"/>
  <c r="J362" i="11"/>
  <c r="I362" i="11"/>
  <c r="J1123" i="11"/>
  <c r="I1123" i="11"/>
  <c r="N1123" i="11"/>
  <c r="N1127" i="11"/>
  <c r="J1127" i="11"/>
  <c r="I1127" i="11"/>
  <c r="L844" i="11"/>
  <c r="J612" i="11"/>
  <c r="I612" i="11"/>
  <c r="N612" i="11"/>
  <c r="K221" i="11"/>
  <c r="L221" i="11" s="1"/>
  <c r="K219" i="11"/>
  <c r="L219" i="11" s="1"/>
  <c r="N810" i="11"/>
  <c r="J810" i="11"/>
  <c r="I810" i="11"/>
  <c r="AW70" i="3"/>
  <c r="AU70" i="3"/>
  <c r="K574" i="11"/>
  <c r="L574" i="11" s="1"/>
  <c r="I1141" i="11"/>
  <c r="N1141" i="11"/>
  <c r="J1141" i="11"/>
  <c r="AV69" i="3"/>
  <c r="AT69" i="3"/>
  <c r="J415" i="11"/>
  <c r="I415" i="11"/>
  <c r="N415" i="11"/>
  <c r="N352" i="11"/>
  <c r="J352" i="11"/>
  <c r="I352" i="11"/>
  <c r="N241" i="11"/>
  <c r="J241" i="11"/>
  <c r="I241" i="11"/>
  <c r="K239" i="11"/>
  <c r="L239" i="11" s="1"/>
  <c r="J192" i="11"/>
  <c r="I192" i="11"/>
  <c r="N192" i="11"/>
  <c r="J182" i="11"/>
  <c r="I182" i="11"/>
  <c r="N182" i="11"/>
  <c r="J98" i="11"/>
  <c r="I98" i="11"/>
  <c r="N98" i="11"/>
  <c r="K26" i="11"/>
  <c r="L26" i="11" s="1"/>
  <c r="J1058" i="11"/>
  <c r="N1058" i="11"/>
  <c r="I1058" i="11"/>
  <c r="N1065" i="11"/>
  <c r="J1065" i="11"/>
  <c r="I1065" i="11"/>
  <c r="K311" i="11"/>
  <c r="L311" i="11" s="1"/>
  <c r="N304" i="11"/>
  <c r="J304" i="11"/>
  <c r="I304" i="11"/>
  <c r="L915" i="11"/>
  <c r="J670" i="11"/>
  <c r="I670" i="11"/>
  <c r="N670" i="11"/>
  <c r="AM23" i="3"/>
  <c r="F33" i="2"/>
  <c r="BK23" i="3"/>
  <c r="AM59" i="3"/>
  <c r="BK59" i="3"/>
  <c r="J1045" i="11"/>
  <c r="N1045" i="11"/>
  <c r="I1045" i="11"/>
  <c r="J580" i="11"/>
  <c r="I580" i="11"/>
  <c r="N580" i="11"/>
  <c r="K635" i="11"/>
  <c r="L635" i="11" s="1"/>
  <c r="J544" i="11"/>
  <c r="I544" i="11"/>
  <c r="N544" i="11"/>
  <c r="K958" i="11"/>
  <c r="L958" i="11" s="1"/>
  <c r="BQ81" i="3"/>
  <c r="T81" i="3" s="1"/>
  <c r="N937" i="11"/>
  <c r="J937" i="11"/>
  <c r="I937" i="11"/>
  <c r="L1150" i="11"/>
  <c r="K990" i="11"/>
  <c r="L990" i="11" s="1"/>
  <c r="N995" i="11"/>
  <c r="I995" i="11"/>
  <c r="J995" i="11"/>
  <c r="L1092" i="11"/>
  <c r="N648" i="11"/>
  <c r="J648" i="11"/>
  <c r="I648" i="11"/>
  <c r="L964" i="11"/>
  <c r="K924" i="11"/>
  <c r="L924" i="11" s="1"/>
  <c r="N855" i="11"/>
  <c r="J855" i="11"/>
  <c r="I855" i="11"/>
  <c r="I773" i="11"/>
  <c r="J773" i="11"/>
  <c r="N773" i="11"/>
  <c r="I781" i="11"/>
  <c r="J781" i="11"/>
  <c r="N781" i="11"/>
  <c r="K533" i="11"/>
  <c r="L533" i="11" s="1"/>
  <c r="J536" i="11"/>
  <c r="I536" i="11"/>
  <c r="N536" i="11"/>
  <c r="N1199" i="11"/>
  <c r="J1199" i="11"/>
  <c r="I1199" i="11"/>
  <c r="AN29" i="3"/>
  <c r="AO29" i="3" s="1"/>
  <c r="L991" i="11"/>
  <c r="J894" i="11"/>
  <c r="I894" i="11"/>
  <c r="N894" i="11"/>
  <c r="K520" i="11"/>
  <c r="L520" i="11" s="1"/>
  <c r="N428" i="11"/>
  <c r="J428" i="11"/>
  <c r="I428" i="11"/>
  <c r="J315" i="11"/>
  <c r="I315" i="11"/>
  <c r="N315" i="11"/>
  <c r="I321" i="11"/>
  <c r="N321" i="11"/>
  <c r="J321" i="11"/>
  <c r="K364" i="11"/>
  <c r="L364" i="11" s="1"/>
  <c r="N366" i="11"/>
  <c r="J366" i="11"/>
  <c r="I366" i="11"/>
  <c r="N1129" i="11"/>
  <c r="J1129" i="11"/>
  <c r="I1129" i="11"/>
  <c r="M1129" i="11" s="1"/>
  <c r="L853" i="11"/>
  <c r="N604" i="11"/>
  <c r="J604" i="11"/>
  <c r="I604" i="11"/>
  <c r="L174" i="11"/>
  <c r="J176" i="11"/>
  <c r="I176" i="11"/>
  <c r="N176" i="11"/>
  <c r="I813" i="11"/>
  <c r="N813" i="11"/>
  <c r="J813" i="11"/>
  <c r="L639" i="11"/>
  <c r="K568" i="11"/>
  <c r="L568" i="11" s="1"/>
  <c r="J577" i="11"/>
  <c r="I577" i="11"/>
  <c r="N577" i="11"/>
  <c r="N576" i="11"/>
  <c r="J576" i="11"/>
  <c r="I576" i="11"/>
  <c r="N1131" i="11"/>
  <c r="J1131" i="11"/>
  <c r="I1131" i="11"/>
  <c r="N356" i="11"/>
  <c r="J356" i="11"/>
  <c r="I356" i="11"/>
  <c r="N186" i="11"/>
  <c r="J186" i="11"/>
  <c r="I186" i="11"/>
  <c r="N102" i="11"/>
  <c r="J102" i="11"/>
  <c r="I102" i="11"/>
  <c r="K98" i="11"/>
  <c r="L98" i="11" s="1"/>
  <c r="N1061" i="11"/>
  <c r="J1061" i="11"/>
  <c r="I1061" i="11"/>
  <c r="I1068" i="11"/>
  <c r="N1068" i="11"/>
  <c r="J1068" i="11"/>
  <c r="J308" i="11"/>
  <c r="I308" i="11"/>
  <c r="N308" i="11"/>
  <c r="L919" i="11"/>
  <c r="L33" i="11"/>
  <c r="I1028" i="11"/>
  <c r="N1028" i="11"/>
  <c r="J1028" i="11"/>
  <c r="N838" i="11"/>
  <c r="J838" i="11"/>
  <c r="I838" i="11"/>
  <c r="N1026" i="11"/>
  <c r="J1026" i="11"/>
  <c r="I1026" i="11"/>
  <c r="N840" i="11"/>
  <c r="J840" i="11"/>
  <c r="I840" i="11"/>
  <c r="J1078" i="11"/>
  <c r="I1078" i="11"/>
  <c r="N1078" i="11"/>
  <c r="I1177" i="11"/>
  <c r="J1177" i="11"/>
  <c r="N1177" i="11"/>
  <c r="J1113" i="11"/>
  <c r="I1113" i="11"/>
  <c r="N1113" i="11"/>
  <c r="I850" i="11"/>
  <c r="N850" i="11"/>
  <c r="J850" i="11"/>
  <c r="N583" i="11"/>
  <c r="J583" i="11"/>
  <c r="I583" i="11"/>
  <c r="AT84" i="3"/>
  <c r="AV84" i="3"/>
  <c r="J631" i="11"/>
  <c r="N631" i="11"/>
  <c r="I631" i="11"/>
  <c r="L584" i="11"/>
  <c r="N546" i="11"/>
  <c r="J546" i="11"/>
  <c r="I546" i="11"/>
  <c r="J1146" i="11"/>
  <c r="I1146" i="11"/>
  <c r="N1146" i="11"/>
  <c r="N954" i="11"/>
  <c r="J954" i="11"/>
  <c r="I954" i="11"/>
  <c r="K961" i="11"/>
  <c r="L961" i="11" s="1"/>
  <c r="N931" i="11"/>
  <c r="J931" i="11"/>
  <c r="I931" i="11"/>
  <c r="AW93" i="3"/>
  <c r="AU93" i="3"/>
  <c r="AZ93" i="3"/>
  <c r="L967" i="11"/>
  <c r="N858" i="11"/>
  <c r="J858" i="11"/>
  <c r="I858" i="11"/>
  <c r="AV73" i="3"/>
  <c r="AT73" i="3"/>
  <c r="K776" i="11"/>
  <c r="L776" i="11" s="1"/>
  <c r="N538" i="11"/>
  <c r="J538" i="11"/>
  <c r="I538" i="11"/>
  <c r="L994" i="11"/>
  <c r="K518" i="11"/>
  <c r="L518" i="11" s="1"/>
  <c r="K522" i="11"/>
  <c r="L522" i="11" s="1"/>
  <c r="K372" i="11"/>
  <c r="L372" i="11" s="1"/>
  <c r="J371" i="11"/>
  <c r="I371" i="11"/>
  <c r="N371" i="11"/>
  <c r="I370" i="11"/>
  <c r="J370" i="11"/>
  <c r="N370" i="11"/>
  <c r="J1122" i="11"/>
  <c r="N1122" i="11"/>
  <c r="I1122" i="11"/>
  <c r="N1126" i="11"/>
  <c r="J1126" i="11"/>
  <c r="I1126" i="11"/>
  <c r="L849" i="11"/>
  <c r="L727" i="11"/>
  <c r="N698" i="11"/>
  <c r="J698" i="11"/>
  <c r="I698" i="11"/>
  <c r="N607" i="11"/>
  <c r="J607" i="11"/>
  <c r="I607" i="11"/>
  <c r="L181" i="11"/>
  <c r="K226" i="11"/>
  <c r="L226" i="11" s="1"/>
  <c r="K218" i="11"/>
  <c r="L218" i="11" s="1"/>
  <c r="K223" i="11"/>
  <c r="L223" i="11" s="1"/>
  <c r="AT46" i="3"/>
  <c r="AV46" i="3"/>
  <c r="AZ70" i="3"/>
  <c r="L641" i="11"/>
  <c r="N571" i="11"/>
  <c r="J571" i="11"/>
  <c r="I571" i="11"/>
  <c r="AW54" i="3"/>
  <c r="AU54" i="3"/>
  <c r="BD54" i="3"/>
  <c r="J411" i="11"/>
  <c r="I411" i="11"/>
  <c r="N411" i="11"/>
  <c r="I353" i="11"/>
  <c r="N353" i="11"/>
  <c r="J353" i="11"/>
  <c r="AT31" i="3"/>
  <c r="AV31" i="3"/>
  <c r="N312" i="11"/>
  <c r="J312" i="11"/>
  <c r="I312" i="11"/>
  <c r="L923" i="11"/>
  <c r="L35" i="11"/>
  <c r="N633" i="11"/>
  <c r="J633" i="11"/>
  <c r="I633" i="11"/>
  <c r="N628" i="11"/>
  <c r="J628" i="11"/>
  <c r="I628" i="11"/>
  <c r="K626" i="11"/>
  <c r="L626" i="11" s="1"/>
  <c r="I1145" i="11"/>
  <c r="N1145" i="11"/>
  <c r="J1145" i="11"/>
  <c r="J957" i="11"/>
  <c r="I957" i="11"/>
  <c r="N957" i="11"/>
  <c r="L1153" i="11"/>
  <c r="J1186" i="11"/>
  <c r="I1186" i="11"/>
  <c r="N1186" i="11"/>
  <c r="I1181" i="11"/>
  <c r="N1181" i="11"/>
  <c r="J1181" i="11"/>
  <c r="N653" i="11"/>
  <c r="J653" i="11"/>
  <c r="I653" i="11"/>
  <c r="J963" i="11"/>
  <c r="I963" i="11"/>
  <c r="N963" i="11"/>
  <c r="L970" i="11"/>
  <c r="N919" i="11"/>
  <c r="J919" i="11"/>
  <c r="I919" i="11"/>
  <c r="K916" i="11"/>
  <c r="L916" i="11" s="1"/>
  <c r="K861" i="11"/>
  <c r="L861" i="11" s="1"/>
  <c r="L1032" i="11"/>
  <c r="K779" i="11"/>
  <c r="L779" i="11" s="1"/>
  <c r="K539" i="11"/>
  <c r="L539" i="11" s="1"/>
  <c r="N531" i="11"/>
  <c r="J531" i="11"/>
  <c r="I531" i="11"/>
  <c r="L996" i="11"/>
  <c r="N521" i="11"/>
  <c r="J521" i="11"/>
  <c r="I521" i="11"/>
  <c r="K368" i="11"/>
  <c r="L368" i="11" s="1"/>
  <c r="L847" i="11"/>
  <c r="J610" i="11"/>
  <c r="I610" i="11"/>
  <c r="N610" i="11"/>
  <c r="N608" i="11"/>
  <c r="J608" i="11"/>
  <c r="I608" i="11"/>
  <c r="N440" i="11"/>
  <c r="J440" i="11"/>
  <c r="I440" i="11"/>
  <c r="I434" i="11"/>
  <c r="J434" i="11"/>
  <c r="N434" i="11"/>
  <c r="J220" i="11"/>
  <c r="I220" i="11"/>
  <c r="N220" i="11"/>
  <c r="K224" i="11"/>
  <c r="L224" i="11" s="1"/>
  <c r="N170" i="11"/>
  <c r="J170" i="11"/>
  <c r="I170" i="11"/>
  <c r="N974" i="11"/>
  <c r="J974" i="11"/>
  <c r="I974" i="11"/>
  <c r="AL71" i="3"/>
  <c r="L645" i="11"/>
  <c r="J574" i="11"/>
  <c r="I574" i="11"/>
  <c r="N574" i="11"/>
  <c r="J570" i="11"/>
  <c r="I570" i="11"/>
  <c r="N570" i="11"/>
  <c r="I1130" i="11"/>
  <c r="J1130" i="11"/>
  <c r="N1130" i="11"/>
  <c r="I357" i="11"/>
  <c r="N357" i="11"/>
  <c r="J357" i="11"/>
  <c r="N1033" i="11"/>
  <c r="J1033" i="11"/>
  <c r="I1033" i="11"/>
  <c r="J1100" i="11"/>
  <c r="I1100" i="11"/>
  <c r="N1100" i="11"/>
  <c r="BK93" i="3"/>
  <c r="AM93" i="3"/>
  <c r="J1162" i="11"/>
  <c r="I1162" i="11"/>
  <c r="N1162" i="11"/>
  <c r="N847" i="11"/>
  <c r="J847" i="11"/>
  <c r="I847" i="11"/>
  <c r="N1077" i="11"/>
  <c r="J1077" i="11"/>
  <c r="I1077" i="11"/>
  <c r="N1171" i="11"/>
  <c r="J1171" i="11"/>
  <c r="I1171" i="11"/>
  <c r="J578" i="11"/>
  <c r="I578" i="11"/>
  <c r="N578" i="11"/>
  <c r="J830" i="11"/>
  <c r="I830" i="11"/>
  <c r="N830" i="11"/>
  <c r="I1044" i="11"/>
  <c r="J1044" i="11"/>
  <c r="N1044" i="11"/>
  <c r="I853" i="11"/>
  <c r="N853" i="11"/>
  <c r="J853" i="11"/>
  <c r="N461" i="11"/>
  <c r="J461" i="11"/>
  <c r="I461" i="11"/>
  <c r="K459" i="11"/>
  <c r="L459" i="11" s="1"/>
  <c r="K469" i="11"/>
  <c r="L469" i="11" s="1"/>
  <c r="J634" i="11"/>
  <c r="N634" i="11"/>
  <c r="I634" i="11"/>
  <c r="K629" i="11"/>
  <c r="L629" i="11" s="1"/>
  <c r="I1149" i="11"/>
  <c r="N1149" i="11"/>
  <c r="J1149" i="11"/>
  <c r="I960" i="11"/>
  <c r="J960" i="11"/>
  <c r="N960" i="11"/>
  <c r="K952" i="11"/>
  <c r="L952" i="11" s="1"/>
  <c r="N927" i="11"/>
  <c r="J927" i="11"/>
  <c r="I927" i="11"/>
  <c r="BK99" i="3"/>
  <c r="AM99" i="3"/>
  <c r="J638" i="11"/>
  <c r="N638" i="11"/>
  <c r="I638" i="11"/>
  <c r="J639" i="11"/>
  <c r="N639" i="11"/>
  <c r="I639" i="11"/>
  <c r="J1178" i="11"/>
  <c r="I1178" i="11"/>
  <c r="N1178" i="11"/>
  <c r="J1182" i="11"/>
  <c r="I1182" i="11"/>
  <c r="N1182" i="11"/>
  <c r="I1185" i="11"/>
  <c r="J1185" i="11"/>
  <c r="N1185" i="11"/>
  <c r="K659" i="11"/>
  <c r="L659" i="11" s="1"/>
  <c r="J967" i="11"/>
  <c r="I967" i="11"/>
  <c r="N967" i="11"/>
  <c r="L965" i="11"/>
  <c r="K857" i="11"/>
  <c r="L857" i="11" s="1"/>
  <c r="K864" i="11"/>
  <c r="L864" i="11" s="1"/>
  <c r="L1022" i="11"/>
  <c r="N771" i="11"/>
  <c r="J771" i="11"/>
  <c r="I771" i="11"/>
  <c r="K540" i="11"/>
  <c r="L540" i="11" s="1"/>
  <c r="N535" i="11"/>
  <c r="J535" i="11"/>
  <c r="I535" i="11"/>
  <c r="N1191" i="11"/>
  <c r="J1191" i="11"/>
  <c r="I1191" i="11"/>
  <c r="L989" i="11"/>
  <c r="J528" i="11"/>
  <c r="I528" i="11"/>
  <c r="N528" i="11"/>
  <c r="K525" i="11"/>
  <c r="L525" i="11" s="1"/>
  <c r="K529" i="11"/>
  <c r="L529" i="11" s="1"/>
  <c r="N424" i="11"/>
  <c r="J424" i="11"/>
  <c r="I424" i="11"/>
  <c r="J367" i="11"/>
  <c r="I367" i="11"/>
  <c r="N367" i="11"/>
  <c r="L851" i="11"/>
  <c r="J731" i="11"/>
  <c r="I731" i="11"/>
  <c r="N731" i="11"/>
  <c r="K726" i="11"/>
  <c r="L726" i="11" s="1"/>
  <c r="BQ62" i="3"/>
  <c r="T62" i="3" s="1"/>
  <c r="BP62" i="3"/>
  <c r="X62" i="3" s="1"/>
  <c r="BM62" i="3"/>
  <c r="I62" i="3" s="1"/>
  <c r="J602" i="11"/>
  <c r="I602" i="11"/>
  <c r="N602" i="11"/>
  <c r="N611" i="11"/>
  <c r="J611" i="11"/>
  <c r="I611" i="11"/>
  <c r="K444" i="11"/>
  <c r="L444" i="11" s="1"/>
  <c r="I438" i="11"/>
  <c r="N438" i="11"/>
  <c r="J438" i="11"/>
  <c r="L171" i="11"/>
  <c r="K227" i="11"/>
  <c r="L227" i="11" s="1"/>
  <c r="N174" i="11"/>
  <c r="J174" i="11"/>
  <c r="I174" i="11"/>
  <c r="N977" i="11"/>
  <c r="J977" i="11"/>
  <c r="I977" i="11"/>
  <c r="N754" i="11"/>
  <c r="J754" i="11"/>
  <c r="I754" i="11"/>
  <c r="L638" i="11"/>
  <c r="J1132" i="11"/>
  <c r="I1132" i="11"/>
  <c r="N1132" i="11"/>
  <c r="AZ54" i="3"/>
  <c r="N420" i="11"/>
  <c r="J420" i="11"/>
  <c r="I420" i="11"/>
  <c r="L230" i="11"/>
  <c r="K1101" i="11"/>
  <c r="L1101" i="11" s="1"/>
  <c r="I1169" i="11"/>
  <c r="N1169" i="11"/>
  <c r="J1169" i="11"/>
  <c r="BK20" i="3"/>
  <c r="AM20" i="3"/>
  <c r="F30" i="2"/>
  <c r="K848" i="11"/>
  <c r="L848" i="11" s="1"/>
  <c r="L1174" i="11"/>
  <c r="K452" i="11"/>
  <c r="L452" i="11" s="1"/>
  <c r="J447" i="11"/>
  <c r="I447" i="11"/>
  <c r="N447" i="11"/>
  <c r="K447" i="11"/>
  <c r="L447" i="11" s="1"/>
  <c r="N852" i="11"/>
  <c r="J852" i="11"/>
  <c r="I852" i="11"/>
  <c r="N579" i="11"/>
  <c r="J579" i="11"/>
  <c r="I579" i="11"/>
  <c r="N465" i="11"/>
  <c r="J465" i="11"/>
  <c r="I465" i="11"/>
  <c r="K458" i="11"/>
  <c r="L458" i="11" s="1"/>
  <c r="N636" i="11"/>
  <c r="J636" i="11"/>
  <c r="I636" i="11"/>
  <c r="I626" i="11"/>
  <c r="N626" i="11"/>
  <c r="J626" i="11"/>
  <c r="K630" i="11"/>
  <c r="L630" i="11" s="1"/>
  <c r="L589" i="11"/>
  <c r="N1151" i="11"/>
  <c r="I1151" i="11"/>
  <c r="J1151" i="11"/>
  <c r="I1153" i="11"/>
  <c r="N1153" i="11"/>
  <c r="J1153" i="11"/>
  <c r="N953" i="11"/>
  <c r="I953" i="11"/>
  <c r="J953" i="11"/>
  <c r="J934" i="11"/>
  <c r="I934" i="11"/>
  <c r="N934" i="11"/>
  <c r="AZ85" i="3"/>
  <c r="I1189" i="11"/>
  <c r="N1189" i="11"/>
  <c r="J1189" i="11"/>
  <c r="J651" i="11"/>
  <c r="N651" i="11"/>
  <c r="I651" i="11"/>
  <c r="N654" i="11"/>
  <c r="J654" i="11"/>
  <c r="I654" i="11"/>
  <c r="N971" i="11"/>
  <c r="J971" i="11"/>
  <c r="I971" i="11"/>
  <c r="L969" i="11"/>
  <c r="N917" i="11"/>
  <c r="J917" i="11"/>
  <c r="I917" i="11"/>
  <c r="K860" i="11"/>
  <c r="L860" i="11" s="1"/>
  <c r="N854" i="11"/>
  <c r="J854" i="11"/>
  <c r="I854" i="11"/>
  <c r="N861" i="11"/>
  <c r="J861" i="11"/>
  <c r="I861" i="11"/>
  <c r="L1027" i="11"/>
  <c r="K771" i="11"/>
  <c r="L771" i="11" s="1"/>
  <c r="J532" i="11"/>
  <c r="I532" i="11"/>
  <c r="N532" i="11"/>
  <c r="N539" i="11"/>
  <c r="J539" i="11"/>
  <c r="I539" i="11"/>
  <c r="BK21" i="3"/>
  <c r="F31" i="2"/>
  <c r="AM21" i="3"/>
  <c r="L993" i="11"/>
  <c r="N900" i="11"/>
  <c r="J900" i="11"/>
  <c r="I900" i="11"/>
  <c r="J431" i="11"/>
  <c r="I431" i="11"/>
  <c r="N431" i="11"/>
  <c r="J427" i="11"/>
  <c r="I427" i="11"/>
  <c r="N427" i="11"/>
  <c r="BD70" i="3"/>
  <c r="K733" i="11"/>
  <c r="L733" i="11" s="1"/>
  <c r="BN62" i="3"/>
  <c r="V62" i="3" s="1"/>
  <c r="Y62" i="3" s="1"/>
  <c r="J705" i="11"/>
  <c r="I705" i="11"/>
  <c r="N705" i="11"/>
  <c r="N603" i="11"/>
  <c r="I603" i="11"/>
  <c r="J603" i="11"/>
  <c r="N605" i="11"/>
  <c r="J605" i="11"/>
  <c r="I605" i="11"/>
  <c r="K436" i="11"/>
  <c r="L436" i="11" s="1"/>
  <c r="I442" i="11"/>
  <c r="N442" i="11"/>
  <c r="J442" i="11"/>
  <c r="AZ24" i="3"/>
  <c r="BD24" i="3"/>
  <c r="L178" i="11"/>
  <c r="K220" i="11"/>
  <c r="L220" i="11" s="1"/>
  <c r="K228" i="11"/>
  <c r="L228" i="11" s="1"/>
  <c r="N178" i="11"/>
  <c r="J178" i="11"/>
  <c r="I178" i="11"/>
  <c r="I980" i="11"/>
  <c r="N980" i="11"/>
  <c r="J980" i="11"/>
  <c r="I753" i="11"/>
  <c r="N753" i="11"/>
  <c r="J753" i="11"/>
  <c r="I757" i="11"/>
  <c r="N757" i="11"/>
  <c r="J757" i="11"/>
  <c r="L640" i="11"/>
  <c r="K571" i="11"/>
  <c r="L571" i="11" s="1"/>
  <c r="I1138" i="11"/>
  <c r="N1138" i="11"/>
  <c r="J1138" i="11"/>
  <c r="N1139" i="11"/>
  <c r="J1139" i="11"/>
  <c r="I1139" i="11"/>
  <c r="I1136" i="11"/>
  <c r="N1136" i="11"/>
  <c r="J1136" i="11"/>
  <c r="L566" i="11"/>
  <c r="I313" i="11"/>
  <c r="N313" i="11"/>
  <c r="J313" i="11"/>
  <c r="L240" i="11"/>
  <c r="AU88" i="3"/>
  <c r="AW88" i="3"/>
  <c r="BD88" i="3"/>
  <c r="AV39" i="3"/>
  <c r="AY39" i="3" s="1"/>
  <c r="AT39" i="3"/>
  <c r="K1104" i="11"/>
  <c r="L1104" i="11" s="1"/>
  <c r="J1092" i="11"/>
  <c r="I1092" i="11"/>
  <c r="N1092" i="11"/>
  <c r="N588" i="11"/>
  <c r="J588" i="11"/>
  <c r="I588" i="11"/>
  <c r="I1076" i="11"/>
  <c r="N1076" i="11"/>
  <c r="J1076" i="11"/>
  <c r="K456" i="11"/>
  <c r="L456" i="11" s="1"/>
  <c r="L782" i="11"/>
  <c r="N1099" i="11"/>
  <c r="I1099" i="11"/>
  <c r="J1099" i="11"/>
  <c r="N936" i="11"/>
  <c r="J936" i="11"/>
  <c r="I936" i="11"/>
  <c r="AV57" i="3"/>
  <c r="AT57" i="3"/>
  <c r="N1183" i="11"/>
  <c r="J1183" i="11"/>
  <c r="I1183" i="11"/>
  <c r="K656" i="11"/>
  <c r="L656" i="11" s="1"/>
  <c r="BK82" i="3"/>
  <c r="AM82" i="3"/>
  <c r="L973" i="11"/>
  <c r="N921" i="11"/>
  <c r="J921" i="11"/>
  <c r="I921" i="11"/>
  <c r="K863" i="11"/>
  <c r="L863" i="11" s="1"/>
  <c r="N857" i="11"/>
  <c r="J857" i="11"/>
  <c r="I857" i="11"/>
  <c r="N864" i="11"/>
  <c r="J864" i="11"/>
  <c r="I864" i="11"/>
  <c r="L1024" i="11"/>
  <c r="K780" i="11"/>
  <c r="L780" i="11" s="1"/>
  <c r="K774" i="11"/>
  <c r="L774" i="11" s="1"/>
  <c r="K770" i="11"/>
  <c r="L770" i="11" s="1"/>
  <c r="K772" i="11"/>
  <c r="L772" i="11" s="1"/>
  <c r="K535" i="11"/>
  <c r="L535" i="11" s="1"/>
  <c r="J534" i="11"/>
  <c r="I534" i="11"/>
  <c r="N534" i="11"/>
  <c r="BK70" i="3"/>
  <c r="AM70" i="3"/>
  <c r="L997" i="11"/>
  <c r="N890" i="11"/>
  <c r="J890" i="11"/>
  <c r="I890" i="11"/>
  <c r="N319" i="11"/>
  <c r="J319" i="11"/>
  <c r="I319" i="11"/>
  <c r="N316" i="11"/>
  <c r="J316" i="11"/>
  <c r="I316" i="11"/>
  <c r="N728" i="11"/>
  <c r="J728" i="11"/>
  <c r="I728" i="11"/>
  <c r="N708" i="11"/>
  <c r="J708" i="11"/>
  <c r="I708" i="11"/>
  <c r="J606" i="11"/>
  <c r="I606" i="11"/>
  <c r="N606" i="11"/>
  <c r="J609" i="11"/>
  <c r="I609" i="11"/>
  <c r="N609" i="11"/>
  <c r="N436" i="11"/>
  <c r="J436" i="11"/>
  <c r="I436" i="11"/>
  <c r="N229" i="11"/>
  <c r="J229" i="11"/>
  <c r="I229" i="11"/>
  <c r="J172" i="11"/>
  <c r="I172" i="11"/>
  <c r="N172" i="11"/>
  <c r="I171" i="11"/>
  <c r="N171" i="11"/>
  <c r="J171" i="11"/>
  <c r="L642" i="11"/>
  <c r="N572" i="11"/>
  <c r="J572" i="11"/>
  <c r="I572" i="11"/>
  <c r="N1140" i="11"/>
  <c r="J1140" i="11"/>
  <c r="I1140" i="11"/>
  <c r="J232" i="11"/>
  <c r="I232" i="11"/>
  <c r="N232" i="11"/>
  <c r="I235" i="11"/>
  <c r="N235" i="11"/>
  <c r="J235" i="11"/>
  <c r="K101" i="11"/>
  <c r="L101" i="11" s="1"/>
  <c r="I37" i="11"/>
  <c r="N37" i="11"/>
  <c r="J37" i="11"/>
  <c r="L569" i="11"/>
  <c r="N1163" i="11"/>
  <c r="J1163" i="11"/>
  <c r="I1163" i="11"/>
  <c r="I835" i="11"/>
  <c r="N835" i="11"/>
  <c r="J835" i="11"/>
  <c r="N460" i="11"/>
  <c r="J460" i="11"/>
  <c r="I460" i="11"/>
  <c r="AW101" i="3"/>
  <c r="AU101" i="3"/>
  <c r="J1043" i="11"/>
  <c r="I1043" i="11"/>
  <c r="N1043" i="11"/>
  <c r="L791" i="11"/>
  <c r="J586" i="11"/>
  <c r="I586" i="11"/>
  <c r="N586" i="11"/>
  <c r="J1097" i="11"/>
  <c r="I1097" i="11"/>
  <c r="N1097" i="11"/>
  <c r="K450" i="11"/>
  <c r="L450" i="11" s="1"/>
  <c r="I1032" i="11"/>
  <c r="J1032" i="11"/>
  <c r="N1032" i="11"/>
  <c r="AV77" i="3"/>
  <c r="AT77" i="3"/>
  <c r="J1105" i="11"/>
  <c r="I1105" i="11"/>
  <c r="N1105" i="11"/>
  <c r="J1027" i="11"/>
  <c r="I1027" i="11"/>
  <c r="N1027" i="11"/>
  <c r="J831" i="11"/>
  <c r="I831" i="11"/>
  <c r="N831" i="11"/>
  <c r="K634" i="11"/>
  <c r="L634" i="11" s="1"/>
  <c r="N545" i="11"/>
  <c r="J545" i="11"/>
  <c r="I545" i="11"/>
  <c r="J552" i="11"/>
  <c r="I552" i="11"/>
  <c r="N552" i="11"/>
  <c r="K959" i="11"/>
  <c r="L959" i="11" s="1"/>
  <c r="L1083" i="11"/>
  <c r="J641" i="11"/>
  <c r="N641" i="11"/>
  <c r="I641" i="11"/>
  <c r="N1187" i="11"/>
  <c r="J1187" i="11"/>
  <c r="I1187" i="11"/>
  <c r="AV89" i="3"/>
  <c r="AT89" i="3"/>
  <c r="N962" i="11"/>
  <c r="J962" i="11"/>
  <c r="I962" i="11"/>
  <c r="J970" i="11"/>
  <c r="I970" i="11"/>
  <c r="N970" i="11"/>
  <c r="K925" i="11"/>
  <c r="L925" i="11" s="1"/>
  <c r="J925" i="11"/>
  <c r="I925" i="11"/>
  <c r="N925" i="11"/>
  <c r="N860" i="11"/>
  <c r="J860" i="11"/>
  <c r="I860" i="11"/>
  <c r="J865" i="11"/>
  <c r="I865" i="11"/>
  <c r="N865" i="11"/>
  <c r="K854" i="11"/>
  <c r="L854" i="11" s="1"/>
  <c r="L1026" i="11"/>
  <c r="K777" i="11"/>
  <c r="L777" i="11" s="1"/>
  <c r="K773" i="11"/>
  <c r="L773" i="11" s="1"/>
  <c r="K775" i="11"/>
  <c r="L775" i="11" s="1"/>
  <c r="N541" i="11"/>
  <c r="J541" i="11"/>
  <c r="I541" i="11"/>
  <c r="K536" i="11"/>
  <c r="L536" i="11" s="1"/>
  <c r="AN103" i="3"/>
  <c r="AO103" i="3" s="1"/>
  <c r="AL103" i="3"/>
  <c r="BK72" i="3"/>
  <c r="AM72" i="3"/>
  <c r="BQ64" i="3"/>
  <c r="T64" i="3" s="1"/>
  <c r="BN64" i="3"/>
  <c r="V64" i="3" s="1"/>
  <c r="Y64" i="3" s="1"/>
  <c r="BL96" i="3"/>
  <c r="BO81" i="3"/>
  <c r="W81" i="3" s="1"/>
  <c r="J524" i="11"/>
  <c r="I524" i="11"/>
  <c r="N524" i="11"/>
  <c r="K521" i="11"/>
  <c r="L521" i="11" s="1"/>
  <c r="J318" i="11"/>
  <c r="N318" i="11"/>
  <c r="I318" i="11"/>
  <c r="N320" i="11"/>
  <c r="J320" i="11"/>
  <c r="I320" i="11"/>
  <c r="N700" i="11"/>
  <c r="J700" i="11"/>
  <c r="I700" i="11"/>
  <c r="N701" i="11"/>
  <c r="J701" i="11"/>
  <c r="I701" i="11"/>
  <c r="N613" i="11"/>
  <c r="J613" i="11"/>
  <c r="I613" i="11"/>
  <c r="K435" i="11"/>
  <c r="L435" i="11" s="1"/>
  <c r="AV22" i="3"/>
  <c r="AT22" i="3"/>
  <c r="L173" i="11"/>
  <c r="N225" i="11"/>
  <c r="J225" i="11"/>
  <c r="I225" i="11"/>
  <c r="I175" i="11"/>
  <c r="J175" i="11"/>
  <c r="N175" i="11"/>
  <c r="L644" i="11"/>
  <c r="J236" i="11"/>
  <c r="I236" i="11"/>
  <c r="N236" i="11"/>
  <c r="N239" i="11"/>
  <c r="I239" i="11"/>
  <c r="J239" i="11"/>
  <c r="N193" i="11"/>
  <c r="J193" i="11"/>
  <c r="I193" i="11"/>
  <c r="K102" i="11"/>
  <c r="L102" i="11" s="1"/>
  <c r="N99" i="11"/>
  <c r="J99" i="11"/>
  <c r="I99" i="11"/>
  <c r="I104" i="11"/>
  <c r="N104" i="11"/>
  <c r="J104" i="11"/>
  <c r="K99" i="11"/>
  <c r="L99" i="11" s="1"/>
  <c r="N28" i="11"/>
  <c r="J28" i="11"/>
  <c r="I28" i="11"/>
  <c r="I1066" i="11"/>
  <c r="J1066" i="11"/>
  <c r="N1066" i="11"/>
  <c r="L572" i="11"/>
  <c r="J1095" i="11"/>
  <c r="N1095" i="11"/>
  <c r="I1095" i="11"/>
  <c r="N1091" i="11"/>
  <c r="I1091" i="11"/>
  <c r="J1091" i="11"/>
  <c r="I1040" i="11"/>
  <c r="J1040" i="11"/>
  <c r="N1040" i="11"/>
  <c r="N1082" i="11"/>
  <c r="I1082" i="11"/>
  <c r="J1082" i="11"/>
  <c r="K1095" i="11"/>
  <c r="L1095" i="11" s="1"/>
  <c r="L873" i="11"/>
  <c r="N1025" i="11"/>
  <c r="J1025" i="11"/>
  <c r="I1025" i="11"/>
  <c r="K463" i="11"/>
  <c r="L463" i="11" s="1"/>
  <c r="J1030" i="11"/>
  <c r="I1030" i="11"/>
  <c r="N1030" i="11"/>
  <c r="K451" i="11"/>
  <c r="L451" i="11" s="1"/>
  <c r="J1110" i="11"/>
  <c r="I1110" i="11"/>
  <c r="N1110" i="11"/>
  <c r="K845" i="11"/>
  <c r="L845" i="11" s="1"/>
  <c r="K462" i="11"/>
  <c r="L462" i="11" s="1"/>
  <c r="N1031" i="11"/>
  <c r="J1031" i="11"/>
  <c r="I1031" i="11"/>
  <c r="K950" i="11"/>
  <c r="L950" i="11" s="1"/>
  <c r="N640" i="11"/>
  <c r="J640" i="11"/>
  <c r="I640" i="11"/>
  <c r="AW97" i="3"/>
  <c r="AU97" i="3"/>
  <c r="K650" i="11"/>
  <c r="L650" i="11" s="1"/>
  <c r="J965" i="11"/>
  <c r="N965" i="11"/>
  <c r="I965" i="11"/>
  <c r="N973" i="11"/>
  <c r="J973" i="11"/>
  <c r="I973" i="11"/>
  <c r="N915" i="11"/>
  <c r="J915" i="11"/>
  <c r="I915" i="11"/>
  <c r="K921" i="11"/>
  <c r="L921" i="11" s="1"/>
  <c r="K855" i="11"/>
  <c r="L855" i="11" s="1"/>
  <c r="N863" i="11"/>
  <c r="J863" i="11"/>
  <c r="I863" i="11"/>
  <c r="L1031" i="11"/>
  <c r="N774" i="11"/>
  <c r="J774" i="11"/>
  <c r="I774" i="11"/>
  <c r="K778" i="11"/>
  <c r="L778" i="11" s="1"/>
  <c r="N530" i="11"/>
  <c r="J530" i="11"/>
  <c r="I530" i="11"/>
  <c r="K538" i="11"/>
  <c r="L538" i="11" s="1"/>
  <c r="N1192" i="11"/>
  <c r="J1192" i="11"/>
  <c r="I1192" i="11"/>
  <c r="BK86" i="3"/>
  <c r="AM86" i="3"/>
  <c r="BP81" i="3"/>
  <c r="X81" i="3" s="1"/>
  <c r="N899" i="11"/>
  <c r="J899" i="11"/>
  <c r="I899" i="11"/>
  <c r="N526" i="11"/>
  <c r="J526" i="11"/>
  <c r="I526" i="11"/>
  <c r="N324" i="11"/>
  <c r="J324" i="11"/>
  <c r="I324" i="11"/>
  <c r="N1128" i="11"/>
  <c r="J1128" i="11"/>
  <c r="M1128" i="11" s="1"/>
  <c r="I1128" i="11"/>
  <c r="BL64" i="3"/>
  <c r="I726" i="11"/>
  <c r="N726" i="11"/>
  <c r="J726" i="11"/>
  <c r="N704" i="11"/>
  <c r="J704" i="11"/>
  <c r="I704" i="11"/>
  <c r="K437" i="11"/>
  <c r="L437" i="11" s="1"/>
  <c r="N444" i="11"/>
  <c r="J444" i="11"/>
  <c r="I444" i="11"/>
  <c r="L175" i="11"/>
  <c r="N181" i="11"/>
  <c r="J181" i="11"/>
  <c r="I181" i="11"/>
  <c r="N177" i="11"/>
  <c r="J177" i="11"/>
  <c r="I177" i="11"/>
  <c r="I179" i="11"/>
  <c r="N179" i="11"/>
  <c r="J179" i="11"/>
  <c r="N815" i="11"/>
  <c r="J815" i="11"/>
  <c r="I815" i="11"/>
  <c r="L648" i="11"/>
  <c r="N569" i="11"/>
  <c r="J569" i="11"/>
  <c r="I569" i="11"/>
  <c r="J358" i="11"/>
  <c r="I358" i="11"/>
  <c r="N358" i="11"/>
  <c r="J240" i="11"/>
  <c r="I240" i="11"/>
  <c r="N240" i="11"/>
  <c r="K105" i="11"/>
  <c r="L105" i="11" s="1"/>
  <c r="I29" i="11"/>
  <c r="N29" i="11"/>
  <c r="J29" i="11"/>
  <c r="N32" i="11"/>
  <c r="J32" i="11"/>
  <c r="I32" i="11"/>
  <c r="L567" i="11"/>
  <c r="N837" i="11"/>
  <c r="J837" i="11"/>
  <c r="I837" i="11"/>
  <c r="I446" i="11"/>
  <c r="J446" i="11"/>
  <c r="N446" i="11"/>
  <c r="N1104" i="11"/>
  <c r="J1104" i="11"/>
  <c r="I1104" i="11"/>
  <c r="J1154" i="11"/>
  <c r="I1154" i="11"/>
  <c r="N1154" i="11"/>
  <c r="AW103" i="3"/>
  <c r="AU103" i="3"/>
  <c r="BD103" i="3"/>
  <c r="AZ103" i="3"/>
  <c r="N1114" i="11"/>
  <c r="J1114" i="11"/>
  <c r="I1114" i="11"/>
  <c r="N844" i="11"/>
  <c r="J844" i="11"/>
  <c r="I844" i="11"/>
  <c r="K1094" i="11"/>
  <c r="L1094" i="11" s="1"/>
  <c r="J1087" i="11"/>
  <c r="N1087" i="11"/>
  <c r="I1087" i="11"/>
  <c r="I1173" i="11"/>
  <c r="N1173" i="11"/>
  <c r="J1173" i="11"/>
  <c r="N1089" i="11"/>
  <c r="J1089" i="11"/>
  <c r="I1089" i="11"/>
  <c r="I1098" i="11"/>
  <c r="N1098" i="11"/>
  <c r="J1098" i="11"/>
  <c r="N1156" i="11"/>
  <c r="J1156" i="11"/>
  <c r="I1156" i="11"/>
  <c r="J1170" i="11"/>
  <c r="I1170" i="11"/>
  <c r="N1170" i="11"/>
  <c r="J1158" i="11"/>
  <c r="I1158" i="11"/>
  <c r="N1158" i="11"/>
  <c r="K1096" i="11"/>
  <c r="L1096" i="11" s="1"/>
  <c r="N1023" i="11"/>
  <c r="J1023" i="11"/>
  <c r="I1023" i="11"/>
  <c r="N1073" i="11"/>
  <c r="J1073" i="11"/>
  <c r="I1073" i="11"/>
  <c r="L839" i="11"/>
  <c r="J582" i="11"/>
  <c r="I582" i="11"/>
  <c r="N582" i="11"/>
  <c r="J877" i="11"/>
  <c r="I877" i="11"/>
  <c r="N877" i="11"/>
  <c r="N1094" i="11"/>
  <c r="J1094" i="11"/>
  <c r="I1094" i="11"/>
  <c r="L1159" i="11"/>
  <c r="J1071" i="11"/>
  <c r="I1071" i="11"/>
  <c r="N1071" i="11"/>
  <c r="J1112" i="11"/>
  <c r="N1112" i="11"/>
  <c r="I1112" i="11"/>
  <c r="N464" i="11"/>
  <c r="J464" i="11"/>
  <c r="I464" i="11"/>
  <c r="I873" i="11"/>
  <c r="N873" i="11"/>
  <c r="J873" i="11"/>
  <c r="L1160" i="11"/>
  <c r="L1076" i="11"/>
  <c r="N1079" i="11"/>
  <c r="I1079" i="11"/>
  <c r="J1079" i="11"/>
  <c r="N834" i="11"/>
  <c r="J834" i="11"/>
  <c r="I834" i="11"/>
  <c r="J833" i="11"/>
  <c r="I833" i="11"/>
  <c r="N833" i="11"/>
  <c r="L1042" i="11"/>
  <c r="AV72" i="3"/>
  <c r="AT72" i="3"/>
  <c r="K453" i="11"/>
  <c r="L453" i="11" s="1"/>
  <c r="K449" i="11"/>
  <c r="L449" i="11" s="1"/>
  <c r="K455" i="11"/>
  <c r="L455" i="11" s="1"/>
  <c r="J1168" i="11"/>
  <c r="I1168" i="11"/>
  <c r="N1168" i="11"/>
  <c r="N1117" i="11"/>
  <c r="J1117" i="11"/>
  <c r="I1117" i="11"/>
  <c r="N1042" i="11"/>
  <c r="J1042" i="11"/>
  <c r="I1042" i="11"/>
  <c r="K843" i="11"/>
  <c r="L843" i="11" s="1"/>
  <c r="N581" i="11"/>
  <c r="J581" i="11"/>
  <c r="I581" i="11"/>
  <c r="J468" i="11"/>
  <c r="I468" i="11"/>
  <c r="N468" i="11"/>
  <c r="K460" i="11"/>
  <c r="L460" i="11" s="1"/>
  <c r="K466" i="11"/>
  <c r="L466" i="11" s="1"/>
  <c r="BD92" i="3"/>
  <c r="N876" i="11"/>
  <c r="J876" i="11"/>
  <c r="I876" i="11"/>
  <c r="K636" i="11"/>
  <c r="L636" i="11" s="1"/>
  <c r="K633" i="11"/>
  <c r="L633" i="11" s="1"/>
  <c r="N549" i="11"/>
  <c r="I549" i="11"/>
  <c r="J549" i="11"/>
  <c r="N550" i="11"/>
  <c r="J550" i="11"/>
  <c r="I550" i="11"/>
  <c r="J1142" i="11"/>
  <c r="I1142" i="11"/>
  <c r="N1142" i="11"/>
  <c r="J930" i="11"/>
  <c r="I930" i="11"/>
  <c r="N930" i="11"/>
  <c r="N994" i="11"/>
  <c r="J994" i="11"/>
  <c r="I994" i="11"/>
  <c r="J990" i="11"/>
  <c r="I990" i="11"/>
  <c r="N990" i="11"/>
  <c r="L1091" i="11"/>
  <c r="N642" i="11"/>
  <c r="J642" i="11"/>
  <c r="I642" i="11"/>
  <c r="J643" i="11"/>
  <c r="N643" i="11"/>
  <c r="I643" i="11"/>
  <c r="AI102" i="3"/>
  <c r="AJ102" i="3" s="1"/>
  <c r="AK102" i="3" s="1"/>
  <c r="AH102" i="3"/>
  <c r="AD102" i="3"/>
  <c r="AE102" i="3" s="1"/>
  <c r="AF102" i="3" s="1"/>
  <c r="AC102" i="3"/>
  <c r="K653" i="11"/>
  <c r="L653" i="11" s="1"/>
  <c r="I657" i="11"/>
  <c r="N657" i="11"/>
  <c r="J657" i="11"/>
  <c r="I968" i="11"/>
  <c r="N968" i="11"/>
  <c r="J968" i="11"/>
  <c r="J966" i="11"/>
  <c r="I966" i="11"/>
  <c r="N966" i="11"/>
  <c r="AW90" i="3"/>
  <c r="AU90" i="3"/>
  <c r="J922" i="11"/>
  <c r="I922" i="11"/>
  <c r="N922" i="11"/>
  <c r="K858" i="11"/>
  <c r="L858" i="11" s="1"/>
  <c r="L1023" i="11"/>
  <c r="K781" i="11"/>
  <c r="L781" i="11" s="1"/>
  <c r="N537" i="11"/>
  <c r="J537" i="11"/>
  <c r="I537" i="11"/>
  <c r="N1196" i="11"/>
  <c r="J1196" i="11"/>
  <c r="I1196" i="11"/>
  <c r="K527" i="11"/>
  <c r="L527" i="11" s="1"/>
  <c r="AI39" i="3"/>
  <c r="AJ39" i="3" s="1"/>
  <c r="AK39" i="3" s="1"/>
  <c r="AH39" i="3"/>
  <c r="AC39" i="3"/>
  <c r="AD39" i="3"/>
  <c r="AE39" i="3" s="1"/>
  <c r="AF39" i="3" s="1"/>
  <c r="J425" i="11"/>
  <c r="I425" i="11"/>
  <c r="N425" i="11"/>
  <c r="BM64" i="3"/>
  <c r="I64" i="3" s="1"/>
  <c r="N709" i="11"/>
  <c r="J709" i="11"/>
  <c r="I709" i="11"/>
  <c r="J707" i="11"/>
  <c r="N707" i="11"/>
  <c r="I707" i="11"/>
  <c r="L643" i="11"/>
  <c r="N416" i="11"/>
  <c r="J416" i="11"/>
  <c r="I416" i="11"/>
  <c r="N417" i="11"/>
  <c r="J417" i="11"/>
  <c r="I417" i="11"/>
  <c r="K103" i="11"/>
  <c r="L103" i="11" s="1"/>
  <c r="K30" i="11"/>
  <c r="L30" i="11" s="1"/>
  <c r="J31" i="11"/>
  <c r="I31" i="11"/>
  <c r="N31" i="11"/>
  <c r="K28" i="11"/>
  <c r="L28" i="11" s="1"/>
  <c r="N36" i="11"/>
  <c r="J36" i="11"/>
  <c r="I36" i="11"/>
  <c r="L576" i="11"/>
  <c r="I734" i="11"/>
  <c r="J734" i="11"/>
  <c r="N734" i="11"/>
  <c r="I740" i="11"/>
  <c r="N740" i="11"/>
  <c r="J740" i="11"/>
  <c r="J714" i="11"/>
  <c r="I714" i="11"/>
  <c r="N714" i="11"/>
  <c r="K1105" i="11"/>
  <c r="L1105" i="11" s="1"/>
  <c r="N1085" i="11"/>
  <c r="I1085" i="11"/>
  <c r="J1085" i="11"/>
  <c r="N448" i="11"/>
  <c r="J448" i="11"/>
  <c r="I448" i="11"/>
  <c r="N786" i="11"/>
  <c r="J786" i="11"/>
  <c r="I786" i="11"/>
  <c r="BK36" i="3"/>
  <c r="AM36" i="3"/>
  <c r="N1039" i="11"/>
  <c r="J1039" i="11"/>
  <c r="I1039" i="11"/>
  <c r="N1106" i="11"/>
  <c r="J1106" i="11"/>
  <c r="I1106" i="11"/>
  <c r="AT95" i="3"/>
  <c r="AV95" i="3"/>
  <c r="L833" i="11"/>
  <c r="L788" i="11"/>
  <c r="K1102" i="11"/>
  <c r="L1102" i="11" s="1"/>
  <c r="L1169" i="11"/>
  <c r="J1081" i="11"/>
  <c r="I1081" i="11"/>
  <c r="N1081" i="11"/>
  <c r="K446" i="11"/>
  <c r="L446" i="11" s="1"/>
  <c r="N872" i="11"/>
  <c r="J872" i="11"/>
  <c r="I872" i="11"/>
  <c r="J1160" i="11"/>
  <c r="N1160" i="11"/>
  <c r="I1160" i="11"/>
  <c r="L1117" i="11"/>
  <c r="N1175" i="11"/>
  <c r="J1175" i="11"/>
  <c r="I1175" i="11"/>
  <c r="L835" i="11"/>
  <c r="L1163" i="11"/>
  <c r="N849" i="11"/>
  <c r="J849" i="11"/>
  <c r="I849" i="11"/>
  <c r="I956" i="11"/>
  <c r="N956" i="11"/>
  <c r="J956" i="11"/>
  <c r="N1101" i="11"/>
  <c r="J1101" i="11"/>
  <c r="I1101" i="11"/>
  <c r="BP69" i="3"/>
  <c r="X69" i="3" s="1"/>
  <c r="BO69" i="3"/>
  <c r="W69" i="3" s="1"/>
  <c r="BQ69" i="3"/>
  <c r="T69" i="3" s="1"/>
  <c r="BN69" i="3"/>
  <c r="V69" i="3" s="1"/>
  <c r="Y69" i="3" s="1"/>
  <c r="Z69" i="3" s="1"/>
  <c r="BL69" i="3"/>
  <c r="N869" i="11"/>
  <c r="J869" i="11"/>
  <c r="I869" i="11"/>
  <c r="L866" i="11"/>
  <c r="L549" i="11"/>
  <c r="K631" i="11"/>
  <c r="L631" i="11" s="1"/>
  <c r="AT99" i="3"/>
  <c r="AV99" i="3"/>
  <c r="L1180" i="11"/>
  <c r="L1109" i="11"/>
  <c r="AY102" i="3"/>
  <c r="BD102" i="3"/>
  <c r="L872" i="11"/>
  <c r="I1157" i="11"/>
  <c r="N1157" i="11"/>
  <c r="J1157" i="11"/>
  <c r="I1024" i="11"/>
  <c r="N1024" i="11"/>
  <c r="J1024" i="11"/>
  <c r="L1171" i="11"/>
  <c r="I1084" i="11"/>
  <c r="J1084" i="11"/>
  <c r="N1084" i="11"/>
  <c r="L1164" i="11"/>
  <c r="L1079" i="11"/>
  <c r="L1035" i="11"/>
  <c r="AV41" i="3"/>
  <c r="AT41" i="3"/>
  <c r="N1172" i="11"/>
  <c r="J1172" i="11"/>
  <c r="I1172" i="11"/>
  <c r="I1036" i="11"/>
  <c r="J1036" i="11"/>
  <c r="N1036" i="11"/>
  <c r="N1037" i="11"/>
  <c r="J1037" i="11"/>
  <c r="I1037" i="11"/>
  <c r="N851" i="11"/>
  <c r="J851" i="11"/>
  <c r="I851" i="11"/>
  <c r="K842" i="11"/>
  <c r="L842" i="11" s="1"/>
  <c r="N585" i="11"/>
  <c r="J585" i="11"/>
  <c r="I585" i="11"/>
  <c r="K461" i="11"/>
  <c r="L461" i="11" s="1"/>
  <c r="J467" i="11"/>
  <c r="I467" i="11"/>
  <c r="N467" i="11"/>
  <c r="L585" i="11"/>
  <c r="J932" i="11"/>
  <c r="I932" i="11"/>
  <c r="N932" i="11"/>
  <c r="L1143" i="11"/>
  <c r="J993" i="11"/>
  <c r="I993" i="11"/>
  <c r="N993" i="11"/>
  <c r="L1082" i="11"/>
  <c r="N646" i="11"/>
  <c r="J646" i="11"/>
  <c r="I646" i="11"/>
  <c r="N1179" i="11"/>
  <c r="J1179" i="11"/>
  <c r="I1179" i="11"/>
  <c r="AD94" i="3"/>
  <c r="AE94" i="3" s="1"/>
  <c r="AF94" i="3" s="1"/>
  <c r="AC94" i="3"/>
  <c r="AH94" i="3"/>
  <c r="AI94" i="3"/>
  <c r="AJ94" i="3" s="1"/>
  <c r="AK94" i="3" s="1"/>
  <c r="N650" i="11"/>
  <c r="J650" i="11"/>
  <c r="I650" i="11"/>
  <c r="N660" i="11"/>
  <c r="J660" i="11"/>
  <c r="I660" i="11"/>
  <c r="K654" i="11"/>
  <c r="L654" i="11" s="1"/>
  <c r="B37" i="5"/>
  <c r="N969" i="11"/>
  <c r="J969" i="11"/>
  <c r="I969" i="11"/>
  <c r="N924" i="11"/>
  <c r="J924" i="11"/>
  <c r="I924" i="11"/>
  <c r="J918" i="11"/>
  <c r="I918" i="11"/>
  <c r="N918" i="11"/>
  <c r="L1028" i="11"/>
  <c r="I777" i="11"/>
  <c r="N777" i="11"/>
  <c r="J777" i="11"/>
  <c r="K531" i="11"/>
  <c r="L531" i="11" s="1"/>
  <c r="N1200" i="11"/>
  <c r="J1200" i="11"/>
  <c r="I1200" i="11"/>
  <c r="K528" i="11"/>
  <c r="L528" i="11" s="1"/>
  <c r="K369" i="11"/>
  <c r="L369" i="11" s="1"/>
  <c r="K373" i="11"/>
  <c r="L373" i="11" s="1"/>
  <c r="K370" i="11"/>
  <c r="L370" i="11" s="1"/>
  <c r="N1119" i="11"/>
  <c r="J1119" i="11"/>
  <c r="I1119" i="11"/>
  <c r="J1125" i="11"/>
  <c r="I1125" i="11"/>
  <c r="N1125" i="11"/>
  <c r="BK74" i="3"/>
  <c r="AM74" i="3"/>
  <c r="BO64" i="3"/>
  <c r="W64" i="3" s="1"/>
  <c r="J747" i="11"/>
  <c r="N747" i="11"/>
  <c r="I747" i="11"/>
  <c r="I755" i="11"/>
  <c r="J755" i="11"/>
  <c r="N755" i="11"/>
  <c r="L646" i="11"/>
  <c r="N421" i="11"/>
  <c r="J421" i="11"/>
  <c r="I421" i="11"/>
  <c r="N233" i="11"/>
  <c r="J233" i="11"/>
  <c r="I233" i="11"/>
  <c r="N189" i="11"/>
  <c r="J189" i="11"/>
  <c r="I189" i="11"/>
  <c r="J108" i="11"/>
  <c r="I108" i="11"/>
  <c r="N108" i="11"/>
  <c r="N1059" i="11"/>
  <c r="J1059" i="11"/>
  <c r="I1059" i="11"/>
  <c r="L573" i="11"/>
  <c r="J663" i="11"/>
  <c r="N663" i="11"/>
  <c r="I663" i="11"/>
  <c r="L655" i="11"/>
  <c r="BK77" i="3"/>
  <c r="AM77" i="3"/>
  <c r="N832" i="11"/>
  <c r="J832" i="11"/>
  <c r="I832" i="11"/>
  <c r="N452" i="11"/>
  <c r="J452" i="11"/>
  <c r="I452" i="11"/>
  <c r="J451" i="11"/>
  <c r="I451" i="11"/>
  <c r="N451" i="11"/>
  <c r="I1072" i="11"/>
  <c r="J1072" i="11"/>
  <c r="N1072" i="11"/>
  <c r="J1174" i="11"/>
  <c r="I1174" i="11"/>
  <c r="N1174" i="11"/>
  <c r="N1108" i="11"/>
  <c r="J1108" i="11"/>
  <c r="I1108" i="11"/>
  <c r="J1164" i="11"/>
  <c r="I1164" i="11"/>
  <c r="N1164" i="11"/>
  <c r="N1086" i="11"/>
  <c r="I1086" i="11"/>
  <c r="J1086" i="11"/>
  <c r="K1100" i="11"/>
  <c r="L1100" i="11" s="1"/>
  <c r="N587" i="11"/>
  <c r="J587" i="11"/>
  <c r="I587" i="11"/>
  <c r="K454" i="11"/>
  <c r="L454" i="11" s="1"/>
  <c r="N1103" i="11"/>
  <c r="J1103" i="11"/>
  <c r="I1103" i="11"/>
  <c r="N841" i="11"/>
  <c r="J841" i="11"/>
  <c r="I841" i="11"/>
  <c r="BD67" i="3"/>
  <c r="AZ67" i="3"/>
  <c r="BD62" i="3"/>
  <c r="AZ62" i="3"/>
  <c r="AW62" i="3"/>
  <c r="AU62" i="3"/>
  <c r="N542" i="11"/>
  <c r="J542" i="11"/>
  <c r="I542" i="11"/>
  <c r="L1145" i="11"/>
  <c r="L553" i="11"/>
  <c r="I1088" i="11"/>
  <c r="N1088" i="11"/>
  <c r="J1088" i="11"/>
  <c r="N1070" i="11"/>
  <c r="J1070" i="11"/>
  <c r="I1070" i="11"/>
  <c r="L937" i="11"/>
  <c r="K1098" i="11"/>
  <c r="L1098" i="11" s="1"/>
  <c r="BK61" i="3"/>
  <c r="AM61" i="3"/>
  <c r="L874" i="11"/>
  <c r="L928" i="11"/>
  <c r="N1096" i="11"/>
  <c r="J1096" i="11"/>
  <c r="I1096" i="11"/>
  <c r="K1097" i="11"/>
  <c r="L1097" i="11" s="1"/>
  <c r="N1159" i="11"/>
  <c r="I1159" i="11"/>
  <c r="J1159" i="11"/>
  <c r="I1161" i="11"/>
  <c r="N1161" i="11"/>
  <c r="J1161" i="11"/>
  <c r="J1022" i="11"/>
  <c r="I1022" i="11"/>
  <c r="N1022" i="11"/>
  <c r="N1029" i="11"/>
  <c r="J1029" i="11"/>
  <c r="I1029" i="11"/>
  <c r="L1175" i="11"/>
  <c r="L1154" i="11"/>
  <c r="BK98" i="3"/>
  <c r="AM98" i="3"/>
  <c r="L837" i="11"/>
  <c r="L1039" i="11"/>
  <c r="L793" i="11"/>
  <c r="K457" i="11"/>
  <c r="L457" i="11" s="1"/>
  <c r="N1176" i="11"/>
  <c r="I1176" i="11"/>
  <c r="J1176" i="11"/>
  <c r="N1109" i="11"/>
  <c r="J1109" i="11"/>
  <c r="I1109" i="11"/>
  <c r="N1111" i="11"/>
  <c r="J1111" i="11"/>
  <c r="I1111" i="11"/>
  <c r="N1038" i="11"/>
  <c r="J1038" i="11"/>
  <c r="I1038" i="11"/>
  <c r="N584" i="11"/>
  <c r="J584" i="11"/>
  <c r="I584" i="11"/>
  <c r="J589" i="11"/>
  <c r="I589" i="11"/>
  <c r="N589" i="11"/>
  <c r="K464" i="11"/>
  <c r="L464" i="11" s="1"/>
  <c r="J868" i="11"/>
  <c r="I868" i="11"/>
  <c r="N868" i="11"/>
  <c r="J627" i="11"/>
  <c r="N627" i="11"/>
  <c r="I627" i="11"/>
  <c r="J635" i="11"/>
  <c r="I635" i="11"/>
  <c r="N635" i="11"/>
  <c r="L580" i="11"/>
  <c r="N1147" i="11"/>
  <c r="J1147" i="11"/>
  <c r="I1147" i="11"/>
  <c r="K953" i="11"/>
  <c r="L953" i="11" s="1"/>
  <c r="L1147" i="11"/>
  <c r="N997" i="11"/>
  <c r="J997" i="11"/>
  <c r="I997" i="11"/>
  <c r="I996" i="11"/>
  <c r="J996" i="11"/>
  <c r="N996" i="11"/>
  <c r="L1093" i="11"/>
  <c r="N644" i="11"/>
  <c r="J644" i="11"/>
  <c r="I644" i="11"/>
  <c r="AN102" i="3"/>
  <c r="AO102" i="3" s="1"/>
  <c r="K660" i="11"/>
  <c r="L660" i="11" s="1"/>
  <c r="N652" i="11"/>
  <c r="I652" i="11"/>
  <c r="J652" i="11"/>
  <c r="BD97" i="3"/>
  <c r="I972" i="11"/>
  <c r="N972" i="11"/>
  <c r="J972" i="11"/>
  <c r="L972" i="11"/>
  <c r="N920" i="11"/>
  <c r="J920" i="11"/>
  <c r="I920" i="11"/>
  <c r="K914" i="11"/>
  <c r="L914" i="11" s="1"/>
  <c r="I856" i="11"/>
  <c r="J856" i="11"/>
  <c r="N856" i="11"/>
  <c r="K862" i="11"/>
  <c r="L862" i="11" s="1"/>
  <c r="L1030" i="11"/>
  <c r="J779" i="11"/>
  <c r="I779" i="11"/>
  <c r="N779" i="11"/>
  <c r="K532" i="11"/>
  <c r="L532" i="11" s="1"/>
  <c r="AM53" i="3"/>
  <c r="BK53" i="3"/>
  <c r="BO48" i="3"/>
  <c r="W48" i="3" s="1"/>
  <c r="N372" i="11"/>
  <c r="J372" i="11"/>
  <c r="I372" i="11"/>
  <c r="N1124" i="11"/>
  <c r="J1124" i="11"/>
  <c r="I1124" i="11"/>
  <c r="BP64" i="3"/>
  <c r="X64" i="3" s="1"/>
  <c r="N732" i="11"/>
  <c r="J732" i="11"/>
  <c r="I732" i="11"/>
  <c r="N725" i="11"/>
  <c r="J725" i="11"/>
  <c r="I725" i="11"/>
  <c r="N985" i="11"/>
  <c r="J985" i="11"/>
  <c r="I985" i="11"/>
  <c r="N979" i="11"/>
  <c r="J979" i="11"/>
  <c r="I979" i="11"/>
  <c r="L649" i="11"/>
  <c r="I410" i="11"/>
  <c r="N410" i="11"/>
  <c r="J410" i="11"/>
  <c r="N355" i="11"/>
  <c r="I355" i="11"/>
  <c r="J355" i="11"/>
  <c r="K234" i="11"/>
  <c r="L234" i="11" s="1"/>
  <c r="K100" i="11"/>
  <c r="L100" i="11" s="1"/>
  <c r="K107" i="11"/>
  <c r="L107" i="11" s="1"/>
  <c r="K32" i="11"/>
  <c r="L32" i="11" s="1"/>
  <c r="I1063" i="11"/>
  <c r="J1063" i="11"/>
  <c r="N1063" i="11"/>
  <c r="L577" i="11"/>
  <c r="AM80" i="3"/>
  <c r="BK80" i="3"/>
  <c r="L657" i="11"/>
  <c r="N896" i="11"/>
  <c r="J896" i="11"/>
  <c r="I896" i="11"/>
  <c r="N529" i="11"/>
  <c r="J529" i="11"/>
  <c r="I529" i="11"/>
  <c r="N519" i="11"/>
  <c r="J519" i="11"/>
  <c r="I519" i="11"/>
  <c r="I426" i="11"/>
  <c r="N426" i="11"/>
  <c r="J426" i="11"/>
  <c r="AT5" i="3"/>
  <c r="AV5" i="3"/>
  <c r="L306" i="11"/>
  <c r="J723" i="11"/>
  <c r="N723" i="11"/>
  <c r="I723" i="11"/>
  <c r="N222" i="11"/>
  <c r="J222" i="11"/>
  <c r="I222" i="11"/>
  <c r="N982" i="11"/>
  <c r="J982" i="11"/>
  <c r="I982" i="11"/>
  <c r="N975" i="11"/>
  <c r="J975" i="11"/>
  <c r="I975" i="11"/>
  <c r="L406" i="11"/>
  <c r="N751" i="11"/>
  <c r="J751" i="11"/>
  <c r="I751" i="11"/>
  <c r="J573" i="11"/>
  <c r="I573" i="11"/>
  <c r="N573" i="11"/>
  <c r="I1134" i="11"/>
  <c r="N1134" i="11"/>
  <c r="J1134" i="11"/>
  <c r="I1135" i="11"/>
  <c r="N1135" i="11"/>
  <c r="J1135" i="11"/>
  <c r="N413" i="11"/>
  <c r="J413" i="11"/>
  <c r="I413" i="11"/>
  <c r="J354" i="11"/>
  <c r="I354" i="11"/>
  <c r="N354" i="11"/>
  <c r="I231" i="11"/>
  <c r="N231" i="11"/>
  <c r="J231" i="11"/>
  <c r="J184" i="11"/>
  <c r="I184" i="11"/>
  <c r="N184" i="11"/>
  <c r="I191" i="11"/>
  <c r="J191" i="11"/>
  <c r="N191" i="11"/>
  <c r="N105" i="11"/>
  <c r="J105" i="11"/>
  <c r="I105" i="11"/>
  <c r="J107" i="11"/>
  <c r="I107" i="11"/>
  <c r="N107" i="11"/>
  <c r="N30" i="11"/>
  <c r="J30" i="11"/>
  <c r="I30" i="11"/>
  <c r="J667" i="11"/>
  <c r="I667" i="11"/>
  <c r="N667" i="11"/>
  <c r="L326" i="11"/>
  <c r="L1018" i="11"/>
  <c r="N712" i="11"/>
  <c r="J712" i="11"/>
  <c r="I712" i="11"/>
  <c r="N1053" i="11"/>
  <c r="J1053" i="11"/>
  <c r="I1053" i="11"/>
  <c r="I882" i="11"/>
  <c r="J882" i="11"/>
  <c r="N882" i="11"/>
  <c r="N327" i="11"/>
  <c r="J327" i="11"/>
  <c r="I327" i="11"/>
  <c r="I333" i="11"/>
  <c r="N333" i="11"/>
  <c r="J333" i="11"/>
  <c r="J336" i="11"/>
  <c r="I336" i="11"/>
  <c r="N336" i="11"/>
  <c r="AW21" i="3"/>
  <c r="AU21" i="3"/>
  <c r="N389" i="11"/>
  <c r="J389" i="11"/>
  <c r="I389" i="11"/>
  <c r="L556" i="11"/>
  <c r="I301" i="11"/>
  <c r="N301" i="11"/>
  <c r="J301" i="11"/>
  <c r="N818" i="11"/>
  <c r="J818" i="11"/>
  <c r="I818" i="11"/>
  <c r="J623" i="11"/>
  <c r="N623" i="11"/>
  <c r="I623" i="11"/>
  <c r="N213" i="11"/>
  <c r="J213" i="11"/>
  <c r="I213" i="11"/>
  <c r="I211" i="11"/>
  <c r="N211" i="11"/>
  <c r="J211" i="11"/>
  <c r="N146" i="11"/>
  <c r="J146" i="11"/>
  <c r="I146" i="11"/>
  <c r="J377" i="11"/>
  <c r="I377" i="11"/>
  <c r="N377" i="11"/>
  <c r="N121" i="11"/>
  <c r="J121" i="11"/>
  <c r="I121" i="11"/>
  <c r="J112" i="11"/>
  <c r="I112" i="11"/>
  <c r="N112" i="11"/>
  <c r="I5" i="11"/>
  <c r="N5" i="11"/>
  <c r="J5" i="11"/>
  <c r="N3" i="11"/>
  <c r="J3" i="11"/>
  <c r="I3" i="11"/>
  <c r="N489" i="11"/>
  <c r="J489" i="11"/>
  <c r="I489" i="11"/>
  <c r="N501" i="11"/>
  <c r="J501" i="11"/>
  <c r="I501" i="11"/>
  <c r="N82" i="11"/>
  <c r="J82" i="11"/>
  <c r="I82" i="11"/>
  <c r="N473" i="11"/>
  <c r="J473" i="11"/>
  <c r="I473" i="11"/>
  <c r="L299" i="11"/>
  <c r="AV20" i="3"/>
  <c r="AT20" i="3"/>
  <c r="L3" i="11"/>
  <c r="AN27" i="3"/>
  <c r="AO27" i="3" s="1"/>
  <c r="AL27" i="3"/>
  <c r="J764" i="11"/>
  <c r="I764" i="11"/>
  <c r="N764" i="11"/>
  <c r="AT35" i="3"/>
  <c r="AV35" i="3"/>
  <c r="AY35" i="3" s="1"/>
  <c r="L246" i="11"/>
  <c r="I25" i="11"/>
  <c r="N25" i="11"/>
  <c r="J25" i="11"/>
  <c r="J946" i="11"/>
  <c r="I946" i="11"/>
  <c r="N946" i="11"/>
  <c r="AW33" i="3"/>
  <c r="AU33" i="3"/>
  <c r="N64" i="11"/>
  <c r="J64" i="11"/>
  <c r="I64" i="11"/>
  <c r="J140" i="11"/>
  <c r="I140" i="11"/>
  <c r="N140" i="11"/>
  <c r="J136" i="11"/>
  <c r="I136" i="11"/>
  <c r="N136" i="11"/>
  <c r="I143" i="11"/>
  <c r="J143" i="11"/>
  <c r="N143" i="11"/>
  <c r="N717" i="11"/>
  <c r="J717" i="11"/>
  <c r="I717" i="11"/>
  <c r="J590" i="11"/>
  <c r="I590" i="11"/>
  <c r="N590" i="11"/>
  <c r="I1056" i="11"/>
  <c r="N1056" i="11"/>
  <c r="J1056" i="11"/>
  <c r="AM75" i="3"/>
  <c r="BK75" i="3"/>
  <c r="AW49" i="3"/>
  <c r="AU49" i="3"/>
  <c r="I337" i="11"/>
  <c r="N337" i="11"/>
  <c r="J337" i="11"/>
  <c r="N1011" i="11"/>
  <c r="J1011" i="11"/>
  <c r="I1011" i="11"/>
  <c r="J393" i="11"/>
  <c r="I393" i="11"/>
  <c r="N393" i="11"/>
  <c r="AV98" i="3"/>
  <c r="AT98" i="3"/>
  <c r="L560" i="11"/>
  <c r="I821" i="11"/>
  <c r="N821" i="11"/>
  <c r="J821" i="11"/>
  <c r="J829" i="11"/>
  <c r="I829" i="11"/>
  <c r="N829" i="11"/>
  <c r="I215" i="11"/>
  <c r="N215" i="11"/>
  <c r="J215" i="11"/>
  <c r="J150" i="11"/>
  <c r="I150" i="11"/>
  <c r="N150" i="11"/>
  <c r="J122" i="11"/>
  <c r="N122" i="11"/>
  <c r="I122" i="11"/>
  <c r="J375" i="11"/>
  <c r="I375" i="11"/>
  <c r="N375" i="11"/>
  <c r="N381" i="11"/>
  <c r="J381" i="11"/>
  <c r="I381" i="11"/>
  <c r="N113" i="11"/>
  <c r="J113" i="11"/>
  <c r="I113" i="11"/>
  <c r="N117" i="11"/>
  <c r="I117" i="11"/>
  <c r="J117" i="11"/>
  <c r="N7" i="11"/>
  <c r="J7" i="11"/>
  <c r="I7" i="11"/>
  <c r="N10" i="11"/>
  <c r="J10" i="11"/>
  <c r="I10" i="11"/>
  <c r="N243" i="11"/>
  <c r="I243" i="11"/>
  <c r="J243" i="11"/>
  <c r="N194" i="11"/>
  <c r="J194" i="11"/>
  <c r="I194" i="11"/>
  <c r="L301" i="11"/>
  <c r="I261" i="11"/>
  <c r="N261" i="11"/>
  <c r="J261" i="11"/>
  <c r="AT32" i="3"/>
  <c r="AV32" i="3"/>
  <c r="L5" i="11"/>
  <c r="N768" i="11"/>
  <c r="J768" i="11"/>
  <c r="I768" i="11"/>
  <c r="L340" i="11"/>
  <c r="L122" i="11"/>
  <c r="BK56" i="3"/>
  <c r="AM56" i="3"/>
  <c r="AC38" i="3"/>
  <c r="L252" i="11"/>
  <c r="I948" i="11"/>
  <c r="J948" i="11"/>
  <c r="N948" i="11"/>
  <c r="BK47" i="3"/>
  <c r="AM47" i="3"/>
  <c r="BD33" i="3"/>
  <c r="N340" i="11"/>
  <c r="J340" i="11"/>
  <c r="I340" i="11"/>
  <c r="N68" i="11"/>
  <c r="J68" i="11"/>
  <c r="I68" i="11"/>
  <c r="BK51" i="3"/>
  <c r="AM51" i="3"/>
  <c r="N307" i="11"/>
  <c r="J307" i="11"/>
  <c r="I307" i="11"/>
  <c r="N310" i="11"/>
  <c r="J310" i="11"/>
  <c r="I310" i="11"/>
  <c r="J666" i="11"/>
  <c r="N666" i="11"/>
  <c r="I666" i="11"/>
  <c r="AV40" i="3"/>
  <c r="AT40" i="3"/>
  <c r="I741" i="11"/>
  <c r="N741" i="11"/>
  <c r="J741" i="11"/>
  <c r="I737" i="11"/>
  <c r="N737" i="11"/>
  <c r="J737" i="11"/>
  <c r="J721" i="11"/>
  <c r="I721" i="11"/>
  <c r="N721" i="11"/>
  <c r="N1047" i="11"/>
  <c r="J1047" i="11"/>
  <c r="I1047" i="11"/>
  <c r="M1047" i="11" s="1"/>
  <c r="AT68" i="3"/>
  <c r="AV68" i="3"/>
  <c r="AW38" i="3"/>
  <c r="AU38" i="3"/>
  <c r="N1013" i="11"/>
  <c r="J1013" i="11"/>
  <c r="I1013" i="11"/>
  <c r="N1015" i="11"/>
  <c r="J1015" i="11"/>
  <c r="I1015" i="11"/>
  <c r="N397" i="11"/>
  <c r="J397" i="11"/>
  <c r="I397" i="11"/>
  <c r="N903" i="11"/>
  <c r="J903" i="11"/>
  <c r="I903" i="11"/>
  <c r="M903" i="11" s="1"/>
  <c r="L565" i="11"/>
  <c r="J290" i="11"/>
  <c r="I290" i="11"/>
  <c r="N290" i="11"/>
  <c r="J292" i="11"/>
  <c r="I292" i="11"/>
  <c r="N292" i="11"/>
  <c r="N209" i="11"/>
  <c r="J209" i="11"/>
  <c r="I209" i="11"/>
  <c r="N154" i="11"/>
  <c r="J154" i="11"/>
  <c r="I154" i="11"/>
  <c r="N126" i="11"/>
  <c r="J126" i="11"/>
  <c r="I126" i="11"/>
  <c r="BD17" i="3"/>
  <c r="N385" i="11"/>
  <c r="J385" i="11"/>
  <c r="I385" i="11"/>
  <c r="N242" i="11"/>
  <c r="J242" i="11"/>
  <c r="I242" i="11"/>
  <c r="J244" i="11"/>
  <c r="I244" i="11"/>
  <c r="N244" i="11"/>
  <c r="N247" i="11"/>
  <c r="I247" i="11"/>
  <c r="J247" i="11"/>
  <c r="J164" i="11"/>
  <c r="I164" i="11"/>
  <c r="N164" i="11"/>
  <c r="J198" i="11"/>
  <c r="I198" i="11"/>
  <c r="N198" i="11"/>
  <c r="AW75" i="3"/>
  <c r="AU75" i="3"/>
  <c r="J508" i="11"/>
  <c r="I508" i="11"/>
  <c r="N508" i="11"/>
  <c r="AU26" i="3"/>
  <c r="AW26" i="3"/>
  <c r="I53" i="11"/>
  <c r="N53" i="11"/>
  <c r="J53" i="11"/>
  <c r="N51" i="11"/>
  <c r="J51" i="11"/>
  <c r="I51" i="11"/>
  <c r="J476" i="11"/>
  <c r="I476" i="11"/>
  <c r="N476" i="11"/>
  <c r="L296" i="11"/>
  <c r="N263" i="11"/>
  <c r="J263" i="11"/>
  <c r="I263" i="11"/>
  <c r="N674" i="11"/>
  <c r="J674" i="11"/>
  <c r="I674" i="11"/>
  <c r="N39" i="11"/>
  <c r="J39" i="11"/>
  <c r="I39" i="11"/>
  <c r="L12" i="11"/>
  <c r="N279" i="11"/>
  <c r="J279" i="11"/>
  <c r="I279" i="11"/>
  <c r="L341" i="11"/>
  <c r="L128" i="11"/>
  <c r="L250" i="11"/>
  <c r="N14" i="11"/>
  <c r="J14" i="11"/>
  <c r="I14" i="11"/>
  <c r="I17" i="11"/>
  <c r="N17" i="11"/>
  <c r="J17" i="11"/>
  <c r="AZ33" i="3"/>
  <c r="I341" i="11"/>
  <c r="N341" i="11"/>
  <c r="J341" i="11"/>
  <c r="J344" i="11"/>
  <c r="I344" i="11"/>
  <c r="N344" i="11"/>
  <c r="J72" i="11"/>
  <c r="I72" i="11"/>
  <c r="N72" i="11"/>
  <c r="N145" i="11"/>
  <c r="J145" i="11"/>
  <c r="I145" i="11"/>
  <c r="N408" i="11"/>
  <c r="J408" i="11"/>
  <c r="I408" i="11"/>
  <c r="I1048" i="11"/>
  <c r="J1048" i="11"/>
  <c r="N1048" i="11"/>
  <c r="N1050" i="11"/>
  <c r="J1050" i="11"/>
  <c r="I1050" i="11"/>
  <c r="BK41" i="3"/>
  <c r="AM41" i="3"/>
  <c r="N1019" i="11"/>
  <c r="J1019" i="11"/>
  <c r="I1019" i="11"/>
  <c r="J387" i="11"/>
  <c r="I387" i="11"/>
  <c r="N387" i="11"/>
  <c r="I386" i="11"/>
  <c r="J386" i="11"/>
  <c r="N386" i="11"/>
  <c r="J910" i="11"/>
  <c r="I910" i="11"/>
  <c r="N910" i="11"/>
  <c r="L561" i="11"/>
  <c r="I297" i="11"/>
  <c r="N297" i="11"/>
  <c r="J297" i="11"/>
  <c r="N296" i="11"/>
  <c r="J296" i="11"/>
  <c r="I296" i="11"/>
  <c r="I824" i="11"/>
  <c r="N824" i="11"/>
  <c r="J824" i="11"/>
  <c r="J622" i="11"/>
  <c r="I622" i="11"/>
  <c r="N622" i="11"/>
  <c r="J216" i="11"/>
  <c r="I216" i="11"/>
  <c r="N216" i="11"/>
  <c r="N149" i="11"/>
  <c r="J149" i="11"/>
  <c r="I149" i="11"/>
  <c r="I147" i="11"/>
  <c r="N147" i="11"/>
  <c r="J147" i="11"/>
  <c r="N130" i="11"/>
  <c r="J130" i="11"/>
  <c r="I130" i="11"/>
  <c r="N87" i="11"/>
  <c r="J87" i="11"/>
  <c r="I87" i="11"/>
  <c r="I93" i="11"/>
  <c r="N93" i="11"/>
  <c r="J93" i="11"/>
  <c r="J94" i="11"/>
  <c r="N94" i="11"/>
  <c r="I94" i="11"/>
  <c r="J383" i="11"/>
  <c r="I383" i="11"/>
  <c r="N383" i="11"/>
  <c r="N384" i="11"/>
  <c r="J384" i="11"/>
  <c r="I384" i="11"/>
  <c r="I374" i="11"/>
  <c r="N374" i="11"/>
  <c r="J374" i="11"/>
  <c r="AT23" i="3"/>
  <c r="AV23" i="3"/>
  <c r="N4" i="11"/>
  <c r="J4" i="11"/>
  <c r="I4" i="11"/>
  <c r="N246" i="11"/>
  <c r="J246" i="11"/>
  <c r="I246" i="11"/>
  <c r="J248" i="11"/>
  <c r="I248" i="11"/>
  <c r="N248" i="11"/>
  <c r="N251" i="11"/>
  <c r="J251" i="11"/>
  <c r="I251" i="11"/>
  <c r="AL44" i="3"/>
  <c r="AN44" i="3"/>
  <c r="AO44" i="3" s="1"/>
  <c r="N202" i="11"/>
  <c r="J202" i="11"/>
  <c r="I202" i="11"/>
  <c r="N74" i="11"/>
  <c r="J74" i="11"/>
  <c r="I74" i="11"/>
  <c r="N510" i="11"/>
  <c r="J510" i="11"/>
  <c r="I510" i="11"/>
  <c r="N55" i="11"/>
  <c r="J55" i="11"/>
  <c r="I55" i="11"/>
  <c r="N58" i="11"/>
  <c r="J58" i="11"/>
  <c r="I58" i="11"/>
  <c r="L362" i="11"/>
  <c r="L291" i="11"/>
  <c r="L225" i="11"/>
  <c r="N46" i="11"/>
  <c r="J46" i="11"/>
  <c r="I46" i="11"/>
  <c r="N42" i="11"/>
  <c r="J42" i="11"/>
  <c r="I42" i="11"/>
  <c r="L7" i="11"/>
  <c r="N286" i="11"/>
  <c r="J286" i="11"/>
  <c r="I286" i="11"/>
  <c r="L129" i="11"/>
  <c r="L245" i="11"/>
  <c r="I21" i="11"/>
  <c r="N21" i="11"/>
  <c r="J21" i="11"/>
  <c r="N19" i="11"/>
  <c r="J19" i="11"/>
  <c r="I19" i="11"/>
  <c r="N941" i="11"/>
  <c r="J941" i="11"/>
  <c r="I941" i="11"/>
  <c r="I345" i="11"/>
  <c r="N345" i="11"/>
  <c r="J345" i="11"/>
  <c r="N348" i="11"/>
  <c r="J348" i="11"/>
  <c r="I348" i="11"/>
  <c r="N270" i="11"/>
  <c r="J270" i="11"/>
  <c r="I270" i="11"/>
  <c r="J63" i="11"/>
  <c r="I63" i="11"/>
  <c r="N63" i="11"/>
  <c r="I1052" i="11"/>
  <c r="J1052" i="11"/>
  <c r="N1052" i="11"/>
  <c r="J999" i="11"/>
  <c r="I999" i="11"/>
  <c r="N999" i="11"/>
  <c r="J326" i="11"/>
  <c r="N326" i="11"/>
  <c r="I326" i="11"/>
  <c r="N1018" i="11"/>
  <c r="J1018" i="11"/>
  <c r="I1018" i="11"/>
  <c r="I1020" i="11"/>
  <c r="N1020" i="11"/>
  <c r="J1020" i="11"/>
  <c r="I390" i="11"/>
  <c r="N390" i="11"/>
  <c r="J390" i="11"/>
  <c r="N912" i="11"/>
  <c r="J912" i="11"/>
  <c r="I912" i="11"/>
  <c r="N905" i="11"/>
  <c r="J905" i="11"/>
  <c r="I905" i="11"/>
  <c r="L557" i="11"/>
  <c r="J299" i="11"/>
  <c r="I299" i="11"/>
  <c r="N299" i="11"/>
  <c r="N300" i="11"/>
  <c r="J300" i="11"/>
  <c r="I300" i="11"/>
  <c r="N624" i="11"/>
  <c r="J624" i="11"/>
  <c r="I624" i="11"/>
  <c r="J156" i="11"/>
  <c r="I156" i="11"/>
  <c r="N156" i="11"/>
  <c r="J152" i="11"/>
  <c r="I152" i="11"/>
  <c r="N152" i="11"/>
  <c r="I151" i="11"/>
  <c r="N151" i="11"/>
  <c r="J151" i="11"/>
  <c r="N125" i="11"/>
  <c r="J125" i="11"/>
  <c r="I125" i="11"/>
  <c r="I123" i="11"/>
  <c r="N123" i="11"/>
  <c r="J123" i="11"/>
  <c r="AM95" i="3"/>
  <c r="BK95" i="3"/>
  <c r="I378" i="11"/>
  <c r="N378" i="11"/>
  <c r="J378" i="11"/>
  <c r="J8" i="11"/>
  <c r="I8" i="11"/>
  <c r="N8" i="11"/>
  <c r="N250" i="11"/>
  <c r="J250" i="11"/>
  <c r="I250" i="11"/>
  <c r="J252" i="11"/>
  <c r="I252" i="11"/>
  <c r="N252" i="11"/>
  <c r="N197" i="11"/>
  <c r="J197" i="11"/>
  <c r="I197" i="11"/>
  <c r="I195" i="11"/>
  <c r="N195" i="11"/>
  <c r="J195" i="11"/>
  <c r="BD75" i="3"/>
  <c r="J796" i="11"/>
  <c r="I796" i="11"/>
  <c r="N796" i="11"/>
  <c r="N497" i="11"/>
  <c r="J497" i="11"/>
  <c r="I497" i="11"/>
  <c r="I81" i="11"/>
  <c r="N81" i="11"/>
  <c r="J81" i="11"/>
  <c r="N517" i="11"/>
  <c r="J517" i="11"/>
  <c r="I517" i="11"/>
  <c r="N471" i="11"/>
  <c r="I471" i="11"/>
  <c r="J471" i="11"/>
  <c r="L367" i="11"/>
  <c r="L293" i="11"/>
  <c r="AL60" i="3"/>
  <c r="J675" i="11"/>
  <c r="I675" i="11"/>
  <c r="N675" i="11"/>
  <c r="L229" i="11"/>
  <c r="I49" i="11"/>
  <c r="N49" i="11"/>
  <c r="J49" i="11"/>
  <c r="L20" i="11"/>
  <c r="BQ30" i="3"/>
  <c r="T30" i="3" s="1"/>
  <c r="BP30" i="3"/>
  <c r="X30" i="3" s="1"/>
  <c r="BN30" i="3"/>
  <c r="V30" i="3" s="1"/>
  <c r="Y30" i="3" s="1"/>
  <c r="BO30" i="3"/>
  <c r="W30" i="3" s="1"/>
  <c r="BM30" i="3"/>
  <c r="I30" i="3" s="1"/>
  <c r="L9" i="11"/>
  <c r="N759" i="11"/>
  <c r="J759" i="11"/>
  <c r="I759" i="11"/>
  <c r="L131" i="11"/>
  <c r="L249" i="11"/>
  <c r="N23" i="11"/>
  <c r="J23" i="11"/>
  <c r="I23" i="11"/>
  <c r="N945" i="11"/>
  <c r="J945" i="11"/>
  <c r="I945" i="11"/>
  <c r="I349" i="11"/>
  <c r="N349" i="11"/>
  <c r="J349" i="11"/>
  <c r="I277" i="11"/>
  <c r="N277" i="11"/>
  <c r="J277" i="11"/>
  <c r="J70" i="11"/>
  <c r="I70" i="11"/>
  <c r="N70" i="11"/>
  <c r="J738" i="11"/>
  <c r="I738" i="11"/>
  <c r="N738" i="11"/>
  <c r="I718" i="11"/>
  <c r="N718" i="11"/>
  <c r="J718" i="11"/>
  <c r="N713" i="11"/>
  <c r="J713" i="11"/>
  <c r="I713" i="11"/>
  <c r="N593" i="11"/>
  <c r="J593" i="11"/>
  <c r="I593" i="11"/>
  <c r="I1008" i="11"/>
  <c r="N1008" i="11"/>
  <c r="J1008" i="11"/>
  <c r="N998" i="11"/>
  <c r="J998" i="11"/>
  <c r="I998" i="11"/>
  <c r="N1003" i="11"/>
  <c r="J1003" i="11"/>
  <c r="I1003" i="11"/>
  <c r="N561" i="11"/>
  <c r="J561" i="11"/>
  <c r="I561" i="11"/>
  <c r="N563" i="11"/>
  <c r="J563" i="11"/>
  <c r="I563" i="11"/>
  <c r="J334" i="11"/>
  <c r="I334" i="11"/>
  <c r="N334" i="11"/>
  <c r="N396" i="11"/>
  <c r="J396" i="11"/>
  <c r="I396" i="11"/>
  <c r="I394" i="11"/>
  <c r="N394" i="11"/>
  <c r="J394" i="11"/>
  <c r="I902" i="11"/>
  <c r="J902" i="11"/>
  <c r="N902" i="11"/>
  <c r="J909" i="11"/>
  <c r="I909" i="11"/>
  <c r="N909" i="11"/>
  <c r="L564" i="11"/>
  <c r="I155" i="11"/>
  <c r="N155" i="11"/>
  <c r="J155" i="11"/>
  <c r="I127" i="11"/>
  <c r="J127" i="11"/>
  <c r="N127" i="11"/>
  <c r="I382" i="11"/>
  <c r="N382" i="11"/>
  <c r="J382" i="11"/>
  <c r="J110" i="11"/>
  <c r="I110" i="11"/>
  <c r="N110" i="11"/>
  <c r="N12" i="11"/>
  <c r="J12" i="11"/>
  <c r="I12" i="11"/>
  <c r="N482" i="11"/>
  <c r="J482" i="11"/>
  <c r="I482" i="11"/>
  <c r="J204" i="11"/>
  <c r="I204" i="11"/>
  <c r="N204" i="11"/>
  <c r="J200" i="11"/>
  <c r="I200" i="11"/>
  <c r="N200" i="11"/>
  <c r="I199" i="11"/>
  <c r="N199" i="11"/>
  <c r="J199" i="11"/>
  <c r="N800" i="11"/>
  <c r="J800" i="11"/>
  <c r="I800" i="11"/>
  <c r="J504" i="11"/>
  <c r="I504" i="11"/>
  <c r="N504" i="11"/>
  <c r="J495" i="11"/>
  <c r="I495" i="11"/>
  <c r="N495" i="11"/>
  <c r="N83" i="11"/>
  <c r="J83" i="11"/>
  <c r="I83" i="11"/>
  <c r="N506" i="11"/>
  <c r="J506" i="11"/>
  <c r="I506" i="11"/>
  <c r="N52" i="11"/>
  <c r="J52" i="11"/>
  <c r="I52" i="11"/>
  <c r="N478" i="11"/>
  <c r="J478" i="11"/>
  <c r="I478" i="11"/>
  <c r="N475" i="11"/>
  <c r="J475" i="11"/>
  <c r="I475" i="11"/>
  <c r="L300" i="11"/>
  <c r="N255" i="11"/>
  <c r="J255" i="11"/>
  <c r="I255" i="11"/>
  <c r="N686" i="11"/>
  <c r="J686" i="11"/>
  <c r="I686" i="11"/>
  <c r="J679" i="11"/>
  <c r="I679" i="11"/>
  <c r="N679" i="11"/>
  <c r="I678" i="11"/>
  <c r="J678" i="11"/>
  <c r="N678" i="11"/>
  <c r="BK22" i="3"/>
  <c r="AM22" i="3"/>
  <c r="F32" i="2"/>
  <c r="AU17" i="3"/>
  <c r="AW17" i="3"/>
  <c r="L4" i="11"/>
  <c r="J767" i="11"/>
  <c r="I767" i="11"/>
  <c r="N767" i="11"/>
  <c r="L124" i="11"/>
  <c r="L253" i="11"/>
  <c r="N16" i="11"/>
  <c r="J16" i="11"/>
  <c r="I16" i="11"/>
  <c r="J338" i="11"/>
  <c r="I338" i="11"/>
  <c r="N338" i="11"/>
  <c r="BP19" i="3"/>
  <c r="X19" i="3" s="1"/>
  <c r="N141" i="11"/>
  <c r="J141" i="11"/>
  <c r="I141" i="11"/>
  <c r="N665" i="11"/>
  <c r="J665" i="11"/>
  <c r="I665" i="11"/>
  <c r="N672" i="11"/>
  <c r="J672" i="11"/>
  <c r="I672" i="11"/>
  <c r="J735" i="11"/>
  <c r="I735" i="11"/>
  <c r="N735" i="11"/>
  <c r="N720" i="11"/>
  <c r="J720" i="11"/>
  <c r="I720" i="11"/>
  <c r="N716" i="11"/>
  <c r="J716" i="11"/>
  <c r="I716" i="11"/>
  <c r="I600" i="11"/>
  <c r="N600" i="11"/>
  <c r="J600" i="11"/>
  <c r="I597" i="11"/>
  <c r="N597" i="11"/>
  <c r="J597" i="11"/>
  <c r="N878" i="11"/>
  <c r="J878" i="11"/>
  <c r="I878" i="11"/>
  <c r="I1000" i="11"/>
  <c r="N1000" i="11"/>
  <c r="J1000" i="11"/>
  <c r="N1001" i="11"/>
  <c r="J1001" i="11"/>
  <c r="I1001" i="11"/>
  <c r="J1007" i="11"/>
  <c r="I1007" i="11"/>
  <c r="N1007" i="11"/>
  <c r="N565" i="11"/>
  <c r="J565" i="11"/>
  <c r="I565" i="11"/>
  <c r="N392" i="11"/>
  <c r="J392" i="11"/>
  <c r="I392" i="11"/>
  <c r="N913" i="11"/>
  <c r="J913" i="11"/>
  <c r="I913" i="11"/>
  <c r="N621" i="11"/>
  <c r="J621" i="11"/>
  <c r="I621" i="11"/>
  <c r="J212" i="11"/>
  <c r="I212" i="11"/>
  <c r="N212" i="11"/>
  <c r="AV8" i="3"/>
  <c r="AT8" i="3"/>
  <c r="N129" i="11"/>
  <c r="J129" i="11"/>
  <c r="I129" i="11"/>
  <c r="I131" i="11"/>
  <c r="N131" i="11"/>
  <c r="J131" i="11"/>
  <c r="AU53" i="3"/>
  <c r="AW53" i="3"/>
  <c r="N249" i="11"/>
  <c r="J249" i="11"/>
  <c r="I249" i="11"/>
  <c r="N485" i="11"/>
  <c r="J485" i="11"/>
  <c r="I485" i="11"/>
  <c r="BK26" i="3"/>
  <c r="AM26" i="3"/>
  <c r="I203" i="11"/>
  <c r="N203" i="11"/>
  <c r="J203" i="11"/>
  <c r="N803" i="11"/>
  <c r="J803" i="11"/>
  <c r="I803" i="11"/>
  <c r="N804" i="11"/>
  <c r="J804" i="11"/>
  <c r="I804" i="11"/>
  <c r="N499" i="11"/>
  <c r="J499" i="11"/>
  <c r="I499" i="11"/>
  <c r="N78" i="11"/>
  <c r="J78" i="11"/>
  <c r="I78" i="11"/>
  <c r="N513" i="11"/>
  <c r="J513" i="11"/>
  <c r="I513" i="11"/>
  <c r="J56" i="11"/>
  <c r="I56" i="11"/>
  <c r="N56" i="11"/>
  <c r="N470" i="11"/>
  <c r="J470" i="11"/>
  <c r="I470" i="11"/>
  <c r="N474" i="11"/>
  <c r="J474" i="11"/>
  <c r="I474" i="11"/>
  <c r="J479" i="11"/>
  <c r="I479" i="11"/>
  <c r="N479" i="11"/>
  <c r="L371" i="11"/>
  <c r="L295" i="11"/>
  <c r="N254" i="11"/>
  <c r="J254" i="11"/>
  <c r="I254" i="11"/>
  <c r="N694" i="11"/>
  <c r="J694" i="11"/>
  <c r="I694" i="11"/>
  <c r="N677" i="11"/>
  <c r="J677" i="11"/>
  <c r="I677" i="11"/>
  <c r="J682" i="11"/>
  <c r="N682" i="11"/>
  <c r="I682" i="11"/>
  <c r="J38" i="11"/>
  <c r="I38" i="11"/>
  <c r="N38" i="11"/>
  <c r="J40" i="11"/>
  <c r="I40" i="11"/>
  <c r="N40" i="11"/>
  <c r="L11" i="11"/>
  <c r="N278" i="11"/>
  <c r="J278" i="11"/>
  <c r="I278" i="11"/>
  <c r="AN38" i="3"/>
  <c r="AO38" i="3" s="1"/>
  <c r="L126" i="11"/>
  <c r="AM24" i="3"/>
  <c r="BK24" i="3"/>
  <c r="N20" i="11"/>
  <c r="J20" i="11"/>
  <c r="I20" i="11"/>
  <c r="J939" i="11"/>
  <c r="N939" i="11"/>
  <c r="I939" i="11"/>
  <c r="N266" i="11"/>
  <c r="J266" i="11"/>
  <c r="I266" i="11"/>
  <c r="I269" i="11"/>
  <c r="N269" i="11"/>
  <c r="J269" i="11"/>
  <c r="N742" i="11"/>
  <c r="J742" i="11"/>
  <c r="I742" i="11"/>
  <c r="J592" i="11"/>
  <c r="I592" i="11"/>
  <c r="M592" i="11" s="1"/>
  <c r="N592" i="11"/>
  <c r="N601" i="11"/>
  <c r="J601" i="11"/>
  <c r="I601" i="11"/>
  <c r="N889" i="11"/>
  <c r="J889" i="11"/>
  <c r="I889" i="11"/>
  <c r="N558" i="11"/>
  <c r="J558" i="11"/>
  <c r="I558" i="11"/>
  <c r="J906" i="11"/>
  <c r="I906" i="11"/>
  <c r="N906" i="11"/>
  <c r="I827" i="11"/>
  <c r="N827" i="11"/>
  <c r="J827" i="11"/>
  <c r="N616" i="11"/>
  <c r="J616" i="11"/>
  <c r="I616" i="11"/>
  <c r="N618" i="11"/>
  <c r="J618" i="11"/>
  <c r="I618" i="11"/>
  <c r="J128" i="11"/>
  <c r="I128" i="11"/>
  <c r="N128" i="11"/>
  <c r="N91" i="11"/>
  <c r="J91" i="11"/>
  <c r="I91" i="11"/>
  <c r="J86" i="11"/>
  <c r="I86" i="11"/>
  <c r="N86" i="11"/>
  <c r="N376" i="11"/>
  <c r="J376" i="11"/>
  <c r="I376" i="11"/>
  <c r="N114" i="11"/>
  <c r="J114" i="11"/>
  <c r="I114" i="11"/>
  <c r="J6" i="11"/>
  <c r="I6" i="11"/>
  <c r="N6" i="11"/>
  <c r="N253" i="11"/>
  <c r="J253" i="11"/>
  <c r="I253" i="11"/>
  <c r="J160" i="11"/>
  <c r="I160" i="11"/>
  <c r="N160" i="11"/>
  <c r="N503" i="11"/>
  <c r="J503" i="11"/>
  <c r="I503" i="11"/>
  <c r="I85" i="11"/>
  <c r="N85" i="11"/>
  <c r="J85" i="11"/>
  <c r="N60" i="11"/>
  <c r="J60" i="11"/>
  <c r="I60" i="11"/>
  <c r="N481" i="11"/>
  <c r="J481" i="11"/>
  <c r="I481" i="11"/>
  <c r="L297" i="11"/>
  <c r="BQ40" i="3"/>
  <c r="T40" i="3" s="1"/>
  <c r="N680" i="11"/>
  <c r="J680" i="11"/>
  <c r="I680" i="11"/>
  <c r="I45" i="11"/>
  <c r="N45" i="11"/>
  <c r="J45" i="11"/>
  <c r="N44" i="11"/>
  <c r="J44" i="11"/>
  <c r="I44" i="11"/>
  <c r="L13" i="11"/>
  <c r="I285" i="11"/>
  <c r="N285" i="11"/>
  <c r="J285" i="11"/>
  <c r="L338" i="11"/>
  <c r="L133" i="11"/>
  <c r="J24" i="11"/>
  <c r="I24" i="11"/>
  <c r="N24" i="11"/>
  <c r="L523" i="11"/>
  <c r="I273" i="11"/>
  <c r="N273" i="11"/>
  <c r="J273" i="11"/>
  <c r="N271" i="11"/>
  <c r="J271" i="11"/>
  <c r="I271" i="11"/>
  <c r="J306" i="11"/>
  <c r="I306" i="11"/>
  <c r="N306" i="11"/>
  <c r="J736" i="11"/>
  <c r="I736" i="11"/>
  <c r="N736" i="11"/>
  <c r="J711" i="11"/>
  <c r="I711" i="11"/>
  <c r="N711" i="11"/>
  <c r="N404" i="11"/>
  <c r="J404" i="11"/>
  <c r="I404" i="11"/>
  <c r="N596" i="11"/>
  <c r="J596" i="11"/>
  <c r="I596" i="11"/>
  <c r="N595" i="11"/>
  <c r="J595" i="11"/>
  <c r="I595" i="11"/>
  <c r="I1051" i="11"/>
  <c r="N1051" i="11"/>
  <c r="J1051" i="11"/>
  <c r="AI87" i="3"/>
  <c r="AJ87" i="3" s="1"/>
  <c r="AK87" i="3" s="1"/>
  <c r="AH87" i="3"/>
  <c r="AD87" i="3"/>
  <c r="AE87" i="3" s="1"/>
  <c r="AF87" i="3" s="1"/>
  <c r="AC87" i="3"/>
  <c r="N1006" i="11"/>
  <c r="J1006" i="11"/>
  <c r="I1006" i="11"/>
  <c r="AV82" i="3"/>
  <c r="AT82" i="3"/>
  <c r="I1012" i="11"/>
  <c r="J1012" i="11"/>
  <c r="N1012" i="11"/>
  <c r="N908" i="11"/>
  <c r="J908" i="11"/>
  <c r="I908" i="11"/>
  <c r="I293" i="11"/>
  <c r="N293" i="11"/>
  <c r="J293" i="11"/>
  <c r="AT6" i="3"/>
  <c r="AV6" i="3"/>
  <c r="J124" i="11"/>
  <c r="I124" i="11"/>
  <c r="N124" i="11"/>
  <c r="AZ53" i="3"/>
  <c r="N380" i="11"/>
  <c r="J380" i="11"/>
  <c r="I380" i="11"/>
  <c r="J116" i="11"/>
  <c r="I116" i="11"/>
  <c r="N116" i="11"/>
  <c r="I13" i="11"/>
  <c r="N13" i="11"/>
  <c r="J13" i="11"/>
  <c r="J488" i="11"/>
  <c r="I488" i="11"/>
  <c r="N488" i="11"/>
  <c r="N158" i="11"/>
  <c r="J158" i="11"/>
  <c r="I158" i="11"/>
  <c r="AT15" i="3"/>
  <c r="AV15" i="3"/>
  <c r="J500" i="11"/>
  <c r="I500" i="11"/>
  <c r="N500" i="11"/>
  <c r="N76" i="11"/>
  <c r="J76" i="11"/>
  <c r="I76" i="11"/>
  <c r="N507" i="11"/>
  <c r="J507" i="11"/>
  <c r="I507" i="11"/>
  <c r="L366" i="11"/>
  <c r="L290" i="11"/>
  <c r="N262" i="11"/>
  <c r="J262" i="11"/>
  <c r="I262" i="11"/>
  <c r="N697" i="11"/>
  <c r="J697" i="11"/>
  <c r="I697" i="11"/>
  <c r="I693" i="11"/>
  <c r="N693" i="11"/>
  <c r="J693" i="11"/>
  <c r="J683" i="11"/>
  <c r="N683" i="11"/>
  <c r="I683" i="11"/>
  <c r="J47" i="11"/>
  <c r="I47" i="11"/>
  <c r="N47" i="11"/>
  <c r="N48" i="11"/>
  <c r="J48" i="11"/>
  <c r="I48" i="11"/>
  <c r="L2" i="11"/>
  <c r="N287" i="11"/>
  <c r="J287" i="11"/>
  <c r="I287" i="11"/>
  <c r="L123" i="11"/>
  <c r="BD60" i="3"/>
  <c r="AT16" i="3"/>
  <c r="AV16" i="3"/>
  <c r="J15" i="11"/>
  <c r="I15" i="11"/>
  <c r="N15" i="11"/>
  <c r="N940" i="11"/>
  <c r="J940" i="11"/>
  <c r="I940" i="11"/>
  <c r="J346" i="11"/>
  <c r="I346" i="11"/>
  <c r="N346" i="11"/>
  <c r="N275" i="11"/>
  <c r="J275" i="11"/>
  <c r="I275" i="11"/>
  <c r="AW55" i="3"/>
  <c r="AU55" i="3"/>
  <c r="N599" i="11"/>
  <c r="J599" i="11"/>
  <c r="I599" i="11"/>
  <c r="J598" i="11"/>
  <c r="I598" i="11"/>
  <c r="N598" i="11"/>
  <c r="N1046" i="11"/>
  <c r="J1046" i="11"/>
  <c r="I1046" i="11"/>
  <c r="J1055" i="11"/>
  <c r="N1055" i="11"/>
  <c r="I1055" i="11"/>
  <c r="I885" i="11"/>
  <c r="J885" i="11"/>
  <c r="N885" i="11"/>
  <c r="AW80" i="3"/>
  <c r="AU80" i="3"/>
  <c r="J562" i="11"/>
  <c r="N562" i="11"/>
  <c r="I562" i="11"/>
  <c r="J555" i="11"/>
  <c r="I555" i="11"/>
  <c r="N555" i="11"/>
  <c r="N1010" i="11"/>
  <c r="J1010" i="11"/>
  <c r="I1010" i="11"/>
  <c r="J1017" i="11"/>
  <c r="I1017" i="11"/>
  <c r="N1017" i="11"/>
  <c r="N904" i="11"/>
  <c r="J904" i="11"/>
  <c r="I904" i="11"/>
  <c r="BK50" i="3"/>
  <c r="AM50" i="3"/>
  <c r="N295" i="11"/>
  <c r="J295" i="11"/>
  <c r="I295" i="11"/>
  <c r="N823" i="11"/>
  <c r="J823" i="11"/>
  <c r="I823" i="11"/>
  <c r="N615" i="11"/>
  <c r="J615" i="11"/>
  <c r="I615" i="11"/>
  <c r="N617" i="11"/>
  <c r="J617" i="11"/>
  <c r="I617" i="11"/>
  <c r="J148" i="11"/>
  <c r="I148" i="11"/>
  <c r="N148" i="11"/>
  <c r="N111" i="11"/>
  <c r="J111" i="11"/>
  <c r="I111" i="11"/>
  <c r="N245" i="11"/>
  <c r="J245" i="11"/>
  <c r="I245" i="11"/>
  <c r="J492" i="11"/>
  <c r="I492" i="11"/>
  <c r="N492" i="11"/>
  <c r="N490" i="11"/>
  <c r="J490" i="11"/>
  <c r="I490" i="11"/>
  <c r="N169" i="11"/>
  <c r="J169" i="11"/>
  <c r="I169" i="11"/>
  <c r="N162" i="11"/>
  <c r="J162" i="11"/>
  <c r="I162" i="11"/>
  <c r="J502" i="11"/>
  <c r="I502" i="11"/>
  <c r="N502" i="11"/>
  <c r="I77" i="11"/>
  <c r="N77" i="11"/>
  <c r="J77" i="11"/>
  <c r="N80" i="11"/>
  <c r="J80" i="11"/>
  <c r="I80" i="11"/>
  <c r="J511" i="11"/>
  <c r="I511" i="11"/>
  <c r="N511" i="11"/>
  <c r="J54" i="11"/>
  <c r="I54" i="11"/>
  <c r="N54" i="11"/>
  <c r="N477" i="11"/>
  <c r="J477" i="11"/>
  <c r="I477" i="11"/>
  <c r="L294" i="11"/>
  <c r="N256" i="11"/>
  <c r="J256" i="11"/>
  <c r="I256" i="11"/>
  <c r="N696" i="11"/>
  <c r="I696" i="11"/>
  <c r="J696" i="11"/>
  <c r="L6" i="11"/>
  <c r="N282" i="11"/>
  <c r="J282" i="11"/>
  <c r="I282" i="11"/>
  <c r="N763" i="11"/>
  <c r="J763" i="11"/>
  <c r="I763" i="11"/>
  <c r="AH37" i="3"/>
  <c r="L130" i="11"/>
  <c r="J22" i="11"/>
  <c r="I22" i="11"/>
  <c r="N22" i="11"/>
  <c r="N947" i="11"/>
  <c r="I947" i="11"/>
  <c r="J947" i="11"/>
  <c r="J342" i="11"/>
  <c r="I342" i="11"/>
  <c r="N342" i="11"/>
  <c r="N347" i="11"/>
  <c r="I347" i="11"/>
  <c r="J347" i="11"/>
  <c r="N268" i="11"/>
  <c r="J268" i="11"/>
  <c r="I268" i="11"/>
  <c r="J744" i="11"/>
  <c r="N744" i="11"/>
  <c r="I744" i="11"/>
  <c r="J715" i="11"/>
  <c r="N715" i="11"/>
  <c r="I715" i="11"/>
  <c r="J719" i="11"/>
  <c r="N719" i="11"/>
  <c r="I719" i="11"/>
  <c r="N710" i="11"/>
  <c r="J710" i="11"/>
  <c r="I710" i="11"/>
  <c r="N401" i="11"/>
  <c r="J401" i="11"/>
  <c r="I401" i="11"/>
  <c r="AZ55" i="3"/>
  <c r="I888" i="11"/>
  <c r="J888" i="11"/>
  <c r="N888" i="11"/>
  <c r="AN87" i="3"/>
  <c r="AO87" i="3" s="1"/>
  <c r="AL87" i="3"/>
  <c r="N1005" i="11"/>
  <c r="J1005" i="11"/>
  <c r="I1005" i="11"/>
  <c r="BK83" i="3"/>
  <c r="AM83" i="3"/>
  <c r="AZ80" i="3"/>
  <c r="J559" i="11"/>
  <c r="I559" i="11"/>
  <c r="N559" i="11"/>
  <c r="N388" i="11"/>
  <c r="J388" i="11"/>
  <c r="I388" i="11"/>
  <c r="N911" i="11"/>
  <c r="J911" i="11"/>
  <c r="I911" i="11"/>
  <c r="N826" i="11"/>
  <c r="J826" i="11"/>
  <c r="I826" i="11"/>
  <c r="AT27" i="3"/>
  <c r="AV27" i="3"/>
  <c r="AY27" i="3" s="1"/>
  <c r="N133" i="11"/>
  <c r="J133" i="11"/>
  <c r="I133" i="11"/>
  <c r="J115" i="11"/>
  <c r="I115" i="11"/>
  <c r="N115" i="11"/>
  <c r="N2" i="11"/>
  <c r="J2" i="11"/>
  <c r="I2" i="11"/>
  <c r="L108" i="11"/>
  <c r="N483" i="11"/>
  <c r="J483" i="11"/>
  <c r="I483" i="11"/>
  <c r="J166" i="11"/>
  <c r="I166" i="11"/>
  <c r="N166" i="11"/>
  <c r="J196" i="11"/>
  <c r="I196" i="11"/>
  <c r="N196" i="11"/>
  <c r="J799" i="11"/>
  <c r="I799" i="11"/>
  <c r="N799" i="11"/>
  <c r="J79" i="11"/>
  <c r="I79" i="11"/>
  <c r="N79" i="11"/>
  <c r="N84" i="11"/>
  <c r="J84" i="11"/>
  <c r="I84" i="11"/>
  <c r="N509" i="11"/>
  <c r="J509" i="11"/>
  <c r="I509" i="11"/>
  <c r="N515" i="11"/>
  <c r="J515" i="11"/>
  <c r="I515" i="11"/>
  <c r="AV63" i="3"/>
  <c r="AY63" i="3" s="1"/>
  <c r="AT63" i="3"/>
  <c r="AZ63" i="3" s="1"/>
  <c r="I61" i="11"/>
  <c r="N61" i="11"/>
  <c r="J61" i="11"/>
  <c r="AV36" i="3"/>
  <c r="AT36" i="3"/>
  <c r="L363" i="11"/>
  <c r="L298" i="11"/>
  <c r="I257" i="11"/>
  <c r="N257" i="11"/>
  <c r="J257" i="11"/>
  <c r="J260" i="11"/>
  <c r="I260" i="11"/>
  <c r="N260" i="11"/>
  <c r="N688" i="11"/>
  <c r="J688" i="11"/>
  <c r="I688" i="11"/>
  <c r="J685" i="11"/>
  <c r="N685" i="11"/>
  <c r="I685" i="11"/>
  <c r="L10" i="11"/>
  <c r="I289" i="11"/>
  <c r="N289" i="11"/>
  <c r="J289" i="11"/>
  <c r="I758" i="11"/>
  <c r="J758" i="11"/>
  <c r="N758" i="11"/>
  <c r="N766" i="11"/>
  <c r="J766" i="11"/>
  <c r="I766" i="11"/>
  <c r="L132" i="11"/>
  <c r="L243" i="11"/>
  <c r="N272" i="11"/>
  <c r="J272" i="11"/>
  <c r="I272" i="11"/>
  <c r="N66" i="11"/>
  <c r="J66" i="11"/>
  <c r="I66" i="11"/>
  <c r="N137" i="11"/>
  <c r="J137" i="11"/>
  <c r="I137" i="11"/>
  <c r="N302" i="11"/>
  <c r="J302" i="11"/>
  <c r="I302" i="11"/>
  <c r="AN79" i="3"/>
  <c r="AO79" i="3" s="1"/>
  <c r="AL79" i="3"/>
  <c r="J673" i="11"/>
  <c r="I673" i="11"/>
  <c r="N673" i="11"/>
  <c r="N400" i="11"/>
  <c r="J400" i="11"/>
  <c r="I400" i="11"/>
  <c r="N405" i="11"/>
  <c r="J405" i="11"/>
  <c r="I405" i="11"/>
  <c r="BD55" i="3"/>
  <c r="N591" i="11"/>
  <c r="J591" i="11"/>
  <c r="I591" i="11"/>
  <c r="L434" i="11"/>
  <c r="AH91" i="3"/>
  <c r="AD91" i="3"/>
  <c r="AE91" i="3" s="1"/>
  <c r="AF91" i="3" s="1"/>
  <c r="AC91" i="3"/>
  <c r="BN89" i="3"/>
  <c r="V89" i="3" s="1"/>
  <c r="Y89" i="3" s="1"/>
  <c r="Z89" i="3" s="1"/>
  <c r="BQ89" i="3"/>
  <c r="T89" i="3" s="1"/>
  <c r="BD80" i="3"/>
  <c r="N331" i="11"/>
  <c r="J331" i="11"/>
  <c r="I331" i="11"/>
  <c r="AV50" i="3"/>
  <c r="AT50" i="3"/>
  <c r="J395" i="11"/>
  <c r="I395" i="11"/>
  <c r="N395" i="11"/>
  <c r="L562" i="11"/>
  <c r="AI55" i="3"/>
  <c r="AJ55" i="3" s="1"/>
  <c r="AK55" i="3" s="1"/>
  <c r="AH55" i="3"/>
  <c r="AC55" i="3"/>
  <c r="AD55" i="3"/>
  <c r="AE55" i="3" s="1"/>
  <c r="AF55" i="3" s="1"/>
  <c r="N217" i="11"/>
  <c r="J217" i="11"/>
  <c r="I217" i="11"/>
  <c r="N206" i="11"/>
  <c r="J206" i="11"/>
  <c r="I206" i="11"/>
  <c r="N157" i="11"/>
  <c r="J157" i="11"/>
  <c r="I157" i="11"/>
  <c r="J88" i="11"/>
  <c r="I88" i="11"/>
  <c r="N88" i="11"/>
  <c r="N119" i="11"/>
  <c r="J119" i="11"/>
  <c r="I119" i="11"/>
  <c r="I9" i="11"/>
  <c r="N9" i="11"/>
  <c r="J9" i="11"/>
  <c r="N487" i="11"/>
  <c r="J487" i="11"/>
  <c r="I487" i="11"/>
  <c r="N165" i="11"/>
  <c r="J165" i="11"/>
  <c r="I165" i="11"/>
  <c r="I159" i="11"/>
  <c r="J159" i="11"/>
  <c r="N159" i="11"/>
  <c r="N794" i="11"/>
  <c r="J794" i="11"/>
  <c r="I794" i="11"/>
  <c r="J802" i="11"/>
  <c r="I802" i="11"/>
  <c r="N802" i="11"/>
  <c r="J516" i="11"/>
  <c r="I516" i="11"/>
  <c r="N516" i="11"/>
  <c r="N259" i="11"/>
  <c r="J259" i="11"/>
  <c r="I259" i="11"/>
  <c r="N264" i="11"/>
  <c r="J264" i="11"/>
  <c r="I264" i="11"/>
  <c r="J691" i="11"/>
  <c r="N691" i="11"/>
  <c r="I691" i="11"/>
  <c r="N676" i="11"/>
  <c r="J676" i="11"/>
  <c r="I676" i="11"/>
  <c r="N280" i="11"/>
  <c r="J280" i="11"/>
  <c r="I280" i="11"/>
  <c r="I761" i="11"/>
  <c r="J761" i="11"/>
  <c r="N761" i="11"/>
  <c r="I769" i="11"/>
  <c r="J769" i="11"/>
  <c r="N769" i="11"/>
  <c r="AM32" i="3"/>
  <c r="BK32" i="3"/>
  <c r="L125" i="11"/>
  <c r="L247" i="11"/>
  <c r="J943" i="11"/>
  <c r="N943" i="11"/>
  <c r="I943" i="11"/>
  <c r="J949" i="11"/>
  <c r="I949" i="11"/>
  <c r="N949" i="11"/>
  <c r="L524" i="11"/>
  <c r="J276" i="11"/>
  <c r="I276" i="11"/>
  <c r="N276" i="11"/>
  <c r="I73" i="11"/>
  <c r="N73" i="11"/>
  <c r="J73" i="11"/>
  <c r="J144" i="11"/>
  <c r="I144" i="11"/>
  <c r="N144" i="11"/>
  <c r="J134" i="11"/>
  <c r="I134" i="11"/>
  <c r="N134" i="11"/>
  <c r="I309" i="11"/>
  <c r="N309" i="11"/>
  <c r="J309" i="11"/>
  <c r="N664" i="11"/>
  <c r="I664" i="11"/>
  <c r="J664" i="11"/>
  <c r="I743" i="11"/>
  <c r="J743" i="11"/>
  <c r="N743" i="11"/>
  <c r="J407" i="11"/>
  <c r="I407" i="11"/>
  <c r="N407" i="11"/>
  <c r="J409" i="11"/>
  <c r="I409" i="11"/>
  <c r="N409" i="11"/>
  <c r="J594" i="11"/>
  <c r="I594" i="11"/>
  <c r="N594" i="11"/>
  <c r="J1049" i="11"/>
  <c r="N1049" i="11"/>
  <c r="I1049" i="11"/>
  <c r="I1054" i="11"/>
  <c r="N1054" i="11"/>
  <c r="J1054" i="11"/>
  <c r="J880" i="11"/>
  <c r="I880" i="11"/>
  <c r="N880" i="11"/>
  <c r="N554" i="11"/>
  <c r="J554" i="11"/>
  <c r="I554" i="11"/>
  <c r="J564" i="11"/>
  <c r="I564" i="11"/>
  <c r="N564" i="11"/>
  <c r="I1016" i="11"/>
  <c r="N1016" i="11"/>
  <c r="J1016" i="11"/>
  <c r="BD49" i="3"/>
  <c r="L563" i="11"/>
  <c r="I819" i="11"/>
  <c r="N819" i="11"/>
  <c r="J819" i="11"/>
  <c r="N620" i="11"/>
  <c r="J620" i="11"/>
  <c r="I620" i="11"/>
  <c r="J614" i="11"/>
  <c r="I614" i="11"/>
  <c r="N614" i="11"/>
  <c r="J208" i="11"/>
  <c r="I208" i="11"/>
  <c r="N208" i="11"/>
  <c r="N210" i="11"/>
  <c r="J210" i="11"/>
  <c r="I210" i="11"/>
  <c r="AH28" i="3"/>
  <c r="J132" i="11"/>
  <c r="I132" i="11"/>
  <c r="N132" i="11"/>
  <c r="J92" i="11"/>
  <c r="I92" i="11"/>
  <c r="N92" i="11"/>
  <c r="AV48" i="3"/>
  <c r="AT48" i="3"/>
  <c r="J379" i="11"/>
  <c r="I379" i="11"/>
  <c r="N379" i="11"/>
  <c r="J120" i="11"/>
  <c r="I120" i="11"/>
  <c r="N120" i="11"/>
  <c r="N11" i="11"/>
  <c r="J11" i="11"/>
  <c r="I11" i="11"/>
  <c r="J484" i="11"/>
  <c r="I484" i="11"/>
  <c r="N484" i="11"/>
  <c r="N491" i="11"/>
  <c r="J491" i="11"/>
  <c r="I491" i="11"/>
  <c r="I163" i="11"/>
  <c r="N163" i="11"/>
  <c r="J163" i="11"/>
  <c r="AU12" i="3"/>
  <c r="AW12" i="3"/>
  <c r="AZ12" i="3"/>
  <c r="N205" i="11"/>
  <c r="J205" i="11"/>
  <c r="I205" i="11"/>
  <c r="I797" i="11"/>
  <c r="N797" i="11"/>
  <c r="J797" i="11"/>
  <c r="I805" i="11"/>
  <c r="J805" i="11"/>
  <c r="N805" i="11"/>
  <c r="J496" i="11"/>
  <c r="I496" i="11"/>
  <c r="N496" i="11"/>
  <c r="N50" i="11"/>
  <c r="J50" i="11"/>
  <c r="I50" i="11"/>
  <c r="J472" i="11"/>
  <c r="I472" i="11"/>
  <c r="N472" i="11"/>
  <c r="J258" i="11"/>
  <c r="I258" i="11"/>
  <c r="N258" i="11"/>
  <c r="I41" i="11"/>
  <c r="N41" i="11"/>
  <c r="J41" i="11"/>
  <c r="I281" i="11"/>
  <c r="N281" i="11"/>
  <c r="J281" i="11"/>
  <c r="N284" i="11"/>
  <c r="J284" i="11"/>
  <c r="I284" i="11"/>
  <c r="L127" i="11"/>
  <c r="L244" i="11"/>
  <c r="AW64" i="3"/>
  <c r="AU64" i="3"/>
  <c r="N339" i="11"/>
  <c r="J339" i="11"/>
  <c r="I339" i="11"/>
  <c r="J267" i="11"/>
  <c r="I267" i="11"/>
  <c r="N267" i="11"/>
  <c r="N138" i="11"/>
  <c r="J138" i="11"/>
  <c r="I138" i="11"/>
  <c r="J423" i="11"/>
  <c r="I423" i="11"/>
  <c r="N423" i="11"/>
  <c r="N429" i="11"/>
  <c r="J429" i="11"/>
  <c r="I429" i="11"/>
  <c r="AU37" i="3"/>
  <c r="AW37" i="3"/>
  <c r="N1120" i="11"/>
  <c r="J1120" i="11"/>
  <c r="I1120" i="11"/>
  <c r="J727" i="11"/>
  <c r="I727" i="11"/>
  <c r="N727" i="11"/>
  <c r="J703" i="11"/>
  <c r="N703" i="11"/>
  <c r="I703" i="11"/>
  <c r="J699" i="11"/>
  <c r="I699" i="11"/>
  <c r="N699" i="11"/>
  <c r="I219" i="11"/>
  <c r="N219" i="11"/>
  <c r="J219" i="11"/>
  <c r="L402" i="11"/>
  <c r="I749" i="11"/>
  <c r="J749" i="11"/>
  <c r="N749" i="11"/>
  <c r="N190" i="11"/>
  <c r="J190" i="11"/>
  <c r="I190" i="11"/>
  <c r="J101" i="11"/>
  <c r="I101" i="11"/>
  <c r="N101" i="11"/>
  <c r="N26" i="11"/>
  <c r="J26" i="11"/>
  <c r="I26" i="11"/>
  <c r="I1064" i="11"/>
  <c r="N1064" i="11"/>
  <c r="J1064" i="11"/>
  <c r="N311" i="11"/>
  <c r="J311" i="11"/>
  <c r="I311" i="11"/>
  <c r="N668" i="11"/>
  <c r="J668" i="11"/>
  <c r="I668" i="11"/>
  <c r="L327" i="11"/>
  <c r="AC63" i="3"/>
  <c r="AD63" i="3"/>
  <c r="AE63" i="3" s="1"/>
  <c r="AF63" i="3" s="1"/>
  <c r="AH63" i="3"/>
  <c r="I398" i="11"/>
  <c r="N398" i="11"/>
  <c r="J398" i="11"/>
  <c r="I1057" i="11"/>
  <c r="N1057" i="11"/>
  <c r="J1057" i="11"/>
  <c r="AT79" i="3"/>
  <c r="AV79" i="3"/>
  <c r="N881" i="11"/>
  <c r="J881" i="11"/>
  <c r="I881" i="11"/>
  <c r="N883" i="11"/>
  <c r="J883" i="11"/>
  <c r="I883" i="11"/>
  <c r="BK68" i="3"/>
  <c r="AM68" i="3"/>
  <c r="AW61" i="3"/>
  <c r="AU61" i="3"/>
  <c r="N557" i="11"/>
  <c r="I557" i="11"/>
  <c r="J557" i="11"/>
  <c r="J556" i="11"/>
  <c r="I556" i="11"/>
  <c r="N556" i="11"/>
  <c r="N1021" i="11"/>
  <c r="J1021" i="11"/>
  <c r="I1021" i="11"/>
  <c r="AZ49" i="3"/>
  <c r="N907" i="11"/>
  <c r="J907" i="11"/>
  <c r="I907" i="11"/>
  <c r="L558" i="11"/>
  <c r="L210" i="11"/>
  <c r="N825" i="11"/>
  <c r="J825" i="11"/>
  <c r="I825" i="11"/>
  <c r="N822" i="11"/>
  <c r="J822" i="11"/>
  <c r="I822" i="11"/>
  <c r="AL55" i="3"/>
  <c r="AN55" i="3"/>
  <c r="AO55" i="3" s="1"/>
  <c r="J214" i="11"/>
  <c r="I214" i="11"/>
  <c r="N214" i="11"/>
  <c r="AV19" i="3"/>
  <c r="AT19" i="3"/>
  <c r="N95" i="11"/>
  <c r="J95" i="11"/>
  <c r="I95" i="11"/>
  <c r="J96" i="11"/>
  <c r="I96" i="11"/>
  <c r="N96" i="11"/>
  <c r="J486" i="11"/>
  <c r="I486" i="11"/>
  <c r="N486" i="11"/>
  <c r="I167" i="11"/>
  <c r="N167" i="11"/>
  <c r="J167" i="11"/>
  <c r="N795" i="11"/>
  <c r="J795" i="11"/>
  <c r="I795" i="11"/>
  <c r="N498" i="11"/>
  <c r="J498" i="11"/>
  <c r="I498" i="11"/>
  <c r="AL46" i="3"/>
  <c r="I57" i="11"/>
  <c r="N57" i="11"/>
  <c r="J57" i="11"/>
  <c r="I265" i="11"/>
  <c r="N265" i="11"/>
  <c r="J265" i="11"/>
  <c r="AW14" i="3"/>
  <c r="AU14" i="3"/>
  <c r="N689" i="11"/>
  <c r="J689" i="11"/>
  <c r="I689" i="11"/>
  <c r="N43" i="11"/>
  <c r="J43" i="11"/>
  <c r="I43" i="11"/>
  <c r="J283" i="11"/>
  <c r="I283" i="11"/>
  <c r="N283" i="11"/>
  <c r="N288" i="11"/>
  <c r="J288" i="11"/>
  <c r="I288" i="11"/>
  <c r="N762" i="11"/>
  <c r="J762" i="11"/>
  <c r="I762" i="11"/>
  <c r="L248" i="11"/>
  <c r="N944" i="11"/>
  <c r="J944" i="11"/>
  <c r="I944" i="11"/>
  <c r="AZ64" i="3"/>
  <c r="N343" i="11"/>
  <c r="J343" i="11"/>
  <c r="I343" i="11"/>
  <c r="J274" i="11"/>
  <c r="I274" i="11"/>
  <c r="N274" i="11"/>
  <c r="N62" i="11"/>
  <c r="J62" i="11"/>
  <c r="I62" i="11"/>
  <c r="I65" i="11"/>
  <c r="N65" i="11"/>
  <c r="J65" i="11"/>
  <c r="N142" i="11"/>
  <c r="J142" i="11"/>
  <c r="I142" i="11"/>
  <c r="J1190" i="11"/>
  <c r="I1190" i="11"/>
  <c r="N1190" i="11"/>
  <c r="N1195" i="11"/>
  <c r="J1195" i="11"/>
  <c r="I1195" i="11"/>
  <c r="I1193" i="11"/>
  <c r="N1193" i="11"/>
  <c r="J1193" i="11"/>
  <c r="J520" i="11"/>
  <c r="I520" i="11"/>
  <c r="N520" i="11"/>
  <c r="AN39" i="3"/>
  <c r="AO39" i="3" s="1"/>
  <c r="AL39" i="3"/>
  <c r="N433" i="11"/>
  <c r="J433" i="11"/>
  <c r="I433" i="11"/>
  <c r="J322" i="11"/>
  <c r="N322" i="11"/>
  <c r="I322" i="11"/>
  <c r="N323" i="11"/>
  <c r="J323" i="11"/>
  <c r="I323" i="11"/>
  <c r="AM25" i="3"/>
  <c r="BK25" i="3"/>
  <c r="N365" i="11"/>
  <c r="I365" i="11"/>
  <c r="J365" i="11"/>
  <c r="L722" i="11"/>
  <c r="J702" i="11"/>
  <c r="I702" i="11"/>
  <c r="N702" i="11"/>
  <c r="I223" i="11"/>
  <c r="N223" i="11"/>
  <c r="J223" i="11"/>
  <c r="L409" i="11"/>
  <c r="AV66" i="3"/>
  <c r="AT66" i="3"/>
  <c r="N575" i="11"/>
  <c r="I575" i="11"/>
  <c r="J575" i="11"/>
  <c r="N567" i="11"/>
  <c r="J567" i="11"/>
  <c r="I567" i="11"/>
  <c r="AT51" i="3"/>
  <c r="AV51" i="3"/>
  <c r="N351" i="11"/>
  <c r="I351" i="11"/>
  <c r="J351" i="11"/>
  <c r="N361" i="11"/>
  <c r="J361" i="11"/>
  <c r="I361" i="11"/>
  <c r="J188" i="11"/>
  <c r="I188" i="11"/>
  <c r="N188" i="11"/>
  <c r="I183" i="11"/>
  <c r="N183" i="11"/>
  <c r="J183" i="11"/>
  <c r="I33" i="11"/>
  <c r="N33" i="11"/>
  <c r="J33" i="11"/>
  <c r="L238" i="11"/>
  <c r="L1011" i="11"/>
  <c r="I745" i="11"/>
  <c r="N745" i="11"/>
  <c r="J745" i="11"/>
  <c r="J399" i="11"/>
  <c r="I399" i="11"/>
  <c r="N399" i="11"/>
  <c r="I402" i="11"/>
  <c r="J402" i="11"/>
  <c r="N402" i="11"/>
  <c r="L438" i="11"/>
  <c r="N884" i="11"/>
  <c r="J884" i="11"/>
  <c r="I884" i="11"/>
  <c r="N886" i="11"/>
  <c r="J886" i="11"/>
  <c r="I886" i="11"/>
  <c r="I1004" i="11"/>
  <c r="J1004" i="11"/>
  <c r="N1004" i="11"/>
  <c r="AZ61" i="3"/>
  <c r="J560" i="11"/>
  <c r="I560" i="11"/>
  <c r="N560" i="11"/>
  <c r="J330" i="11"/>
  <c r="I330" i="11"/>
  <c r="N330" i="11"/>
  <c r="N328" i="11"/>
  <c r="J328" i="11"/>
  <c r="I328" i="11"/>
  <c r="J391" i="11"/>
  <c r="I391" i="11"/>
  <c r="N391" i="11"/>
  <c r="L554" i="11"/>
  <c r="N291" i="11"/>
  <c r="J291" i="11"/>
  <c r="I291" i="11"/>
  <c r="L212" i="11"/>
  <c r="N820" i="11"/>
  <c r="J820" i="11"/>
  <c r="I820" i="11"/>
  <c r="N625" i="11"/>
  <c r="J625" i="11"/>
  <c r="I625" i="11"/>
  <c r="BL17" i="3"/>
  <c r="BO17" i="3"/>
  <c r="W17" i="3" s="1"/>
  <c r="N153" i="11"/>
  <c r="J153" i="11"/>
  <c r="I153" i="11"/>
  <c r="J90" i="11"/>
  <c r="N90" i="11"/>
  <c r="I90" i="11"/>
  <c r="I97" i="11"/>
  <c r="N97" i="11"/>
  <c r="J97" i="11"/>
  <c r="N493" i="11"/>
  <c r="J493" i="11"/>
  <c r="I493" i="11"/>
  <c r="N161" i="11"/>
  <c r="J161" i="11"/>
  <c r="I161" i="11"/>
  <c r="N798" i="11"/>
  <c r="J798" i="11"/>
  <c r="I798" i="11"/>
  <c r="N505" i="11"/>
  <c r="J505" i="11"/>
  <c r="I505" i="11"/>
  <c r="J512" i="11"/>
  <c r="I512" i="11"/>
  <c r="N512" i="11"/>
  <c r="BQ42" i="3"/>
  <c r="T42" i="3" s="1"/>
  <c r="BP42" i="3"/>
  <c r="X42" i="3" s="1"/>
  <c r="BO42" i="3"/>
  <c r="W42" i="3" s="1"/>
  <c r="BN42" i="3"/>
  <c r="V42" i="3" s="1"/>
  <c r="Y42" i="3" s="1"/>
  <c r="BL42" i="3"/>
  <c r="N59" i="11"/>
  <c r="J59" i="11"/>
  <c r="I59" i="11"/>
  <c r="J480" i="11"/>
  <c r="I480" i="11"/>
  <c r="N480" i="11"/>
  <c r="AM34" i="3"/>
  <c r="BK34" i="3"/>
  <c r="N692" i="11"/>
  <c r="J692" i="11"/>
  <c r="I692" i="11"/>
  <c r="J687" i="11"/>
  <c r="N687" i="11"/>
  <c r="I687" i="11"/>
  <c r="I681" i="11"/>
  <c r="J681" i="11"/>
  <c r="N681" i="11"/>
  <c r="AD27" i="3"/>
  <c r="AE27" i="3" s="1"/>
  <c r="AF27" i="3" s="1"/>
  <c r="AC27" i="3"/>
  <c r="AI27" i="3"/>
  <c r="AJ27" i="3" s="1"/>
  <c r="AK27" i="3" s="1"/>
  <c r="AH27" i="3"/>
  <c r="BO18" i="3"/>
  <c r="W18" i="3" s="1"/>
  <c r="BL18" i="3"/>
  <c r="L242" i="11"/>
  <c r="J942" i="11"/>
  <c r="I942" i="11"/>
  <c r="N942" i="11"/>
  <c r="J938" i="11"/>
  <c r="I938" i="11"/>
  <c r="N938" i="11"/>
  <c r="BD64" i="3"/>
  <c r="I69" i="11"/>
  <c r="N69" i="11"/>
  <c r="J69" i="11"/>
  <c r="N67" i="11"/>
  <c r="J67" i="11"/>
  <c r="I67" i="11"/>
  <c r="I135" i="11"/>
  <c r="N135" i="11"/>
  <c r="J135" i="11"/>
  <c r="I1197" i="11"/>
  <c r="J1197" i="11"/>
  <c r="N1197" i="11"/>
  <c r="N893" i="11"/>
  <c r="J893" i="11"/>
  <c r="I893" i="11"/>
  <c r="N522" i="11"/>
  <c r="J522" i="11"/>
  <c r="I522" i="11"/>
  <c r="N432" i="11"/>
  <c r="J432" i="11"/>
  <c r="I432" i="11"/>
  <c r="I422" i="11"/>
  <c r="N422" i="11"/>
  <c r="J422" i="11"/>
  <c r="I317" i="11"/>
  <c r="J317" i="11"/>
  <c r="N317" i="11"/>
  <c r="L724" i="11"/>
  <c r="J443" i="11"/>
  <c r="I443" i="11"/>
  <c r="N443" i="11"/>
  <c r="N221" i="11"/>
  <c r="J221" i="11"/>
  <c r="I221" i="11"/>
  <c r="J224" i="11"/>
  <c r="I224" i="11"/>
  <c r="N224" i="11"/>
  <c r="N218" i="11"/>
  <c r="J218" i="11"/>
  <c r="I218" i="11"/>
  <c r="I227" i="11"/>
  <c r="N227" i="11"/>
  <c r="J227" i="11"/>
  <c r="N750" i="11"/>
  <c r="J750" i="11"/>
  <c r="I750" i="11"/>
  <c r="AT47" i="3"/>
  <c r="AV47" i="3"/>
  <c r="J350" i="11"/>
  <c r="I350" i="11"/>
  <c r="N350" i="11"/>
  <c r="I187" i="11"/>
  <c r="N187" i="11"/>
  <c r="J187" i="11"/>
  <c r="N109" i="11"/>
  <c r="J109" i="11"/>
  <c r="I109" i="11"/>
  <c r="N35" i="11"/>
  <c r="J35" i="11"/>
  <c r="I35" i="11"/>
  <c r="I1069" i="11"/>
  <c r="J1069" i="11"/>
  <c r="N1069" i="11"/>
  <c r="L335" i="11"/>
  <c r="L1016" i="11"/>
  <c r="N739" i="11"/>
  <c r="J739" i="11"/>
  <c r="I739" i="11"/>
  <c r="J403" i="11"/>
  <c r="I403" i="11"/>
  <c r="N403" i="11"/>
  <c r="I406" i="11"/>
  <c r="N406" i="11"/>
  <c r="J406" i="11"/>
  <c r="N887" i="11"/>
  <c r="J887" i="11"/>
  <c r="I887" i="11"/>
  <c r="J879" i="11"/>
  <c r="I879" i="11"/>
  <c r="N879" i="11"/>
  <c r="J1002" i="11"/>
  <c r="I1002" i="11"/>
  <c r="N1002" i="11"/>
  <c r="N1009" i="11"/>
  <c r="J1009" i="11"/>
  <c r="I1009" i="11"/>
  <c r="N335" i="11"/>
  <c r="J335" i="11"/>
  <c r="I335" i="11"/>
  <c r="I329" i="11"/>
  <c r="J329" i="11"/>
  <c r="N329" i="11"/>
  <c r="N332" i="11"/>
  <c r="J332" i="11"/>
  <c r="I332" i="11"/>
  <c r="N1014" i="11"/>
  <c r="J1014" i="11"/>
  <c r="I1014" i="11"/>
  <c r="L559" i="11"/>
  <c r="N298" i="11"/>
  <c r="J298" i="11"/>
  <c r="I298" i="11"/>
  <c r="N294" i="11"/>
  <c r="J294" i="11"/>
  <c r="I294" i="11"/>
  <c r="L207" i="11"/>
  <c r="N828" i="11"/>
  <c r="J828" i="11"/>
  <c r="I828" i="11"/>
  <c r="J619" i="11"/>
  <c r="N619" i="11"/>
  <c r="I619" i="11"/>
  <c r="I207" i="11"/>
  <c r="J207" i="11"/>
  <c r="N207" i="11"/>
  <c r="I89" i="11"/>
  <c r="N89" i="11"/>
  <c r="J89" i="11"/>
  <c r="N118" i="11"/>
  <c r="J118" i="11"/>
  <c r="I118" i="11"/>
  <c r="J168" i="11"/>
  <c r="I168" i="11"/>
  <c r="N168" i="11"/>
  <c r="N201" i="11"/>
  <c r="J201" i="11"/>
  <c r="I201" i="11"/>
  <c r="I801" i="11"/>
  <c r="N801" i="11"/>
  <c r="J801" i="11"/>
  <c r="N494" i="11"/>
  <c r="J494" i="11"/>
  <c r="I494" i="11"/>
  <c r="N75" i="11"/>
  <c r="J75" i="11"/>
  <c r="I75" i="11"/>
  <c r="AC46" i="3"/>
  <c r="N514" i="11"/>
  <c r="J514" i="11"/>
  <c r="I514" i="11"/>
  <c r="L292" i="11"/>
  <c r="J695" i="11"/>
  <c r="N695" i="11"/>
  <c r="I695" i="11"/>
  <c r="I690" i="11"/>
  <c r="N690" i="11"/>
  <c r="J690" i="11"/>
  <c r="N684" i="11"/>
  <c r="I684" i="11"/>
  <c r="J684" i="11"/>
  <c r="L8" i="11"/>
  <c r="I765" i="11"/>
  <c r="N765" i="11"/>
  <c r="J765" i="11"/>
  <c r="N760" i="11"/>
  <c r="J760" i="11"/>
  <c r="I760" i="11"/>
  <c r="L251" i="11"/>
  <c r="N18" i="11"/>
  <c r="J18" i="11"/>
  <c r="I18" i="11"/>
  <c r="AZ17" i="3"/>
  <c r="N71" i="11"/>
  <c r="J71" i="11"/>
  <c r="I71" i="11"/>
  <c r="I139" i="11"/>
  <c r="N139" i="11"/>
  <c r="J139" i="11"/>
  <c r="AY76" i="3" l="1"/>
  <c r="M706" i="11"/>
  <c r="AD46" i="3"/>
  <c r="AE46" i="3" s="1"/>
  <c r="AF46" i="3" s="1"/>
  <c r="BO65" i="3"/>
  <c r="W65" i="3" s="1"/>
  <c r="AC65" i="3" s="1"/>
  <c r="BL65" i="3"/>
  <c r="AD73" i="3"/>
  <c r="AE73" i="3" s="1"/>
  <c r="AF73" i="3" s="1"/>
  <c r="BP18" i="3"/>
  <c r="X18" i="3" s="1"/>
  <c r="AI18" i="3" s="1"/>
  <c r="AJ18" i="3" s="1"/>
  <c r="AN71" i="3"/>
  <c r="AO71" i="3" s="1"/>
  <c r="AH73" i="3"/>
  <c r="BQ19" i="3"/>
  <c r="T19" i="3" s="1"/>
  <c r="AI37" i="3"/>
  <c r="AJ37" i="3" s="1"/>
  <c r="AK37" i="3" s="1"/>
  <c r="AC73" i="3"/>
  <c r="AY33" i="3"/>
  <c r="BQ18" i="3"/>
  <c r="T18" i="3" s="1"/>
  <c r="AN18" i="3" s="1"/>
  <c r="AO18" i="3" s="1"/>
  <c r="L28" i="2" s="1"/>
  <c r="AD101" i="3"/>
  <c r="AE101" i="3" s="1"/>
  <c r="AF101" i="3" s="1"/>
  <c r="AY73" i="3"/>
  <c r="BM58" i="3"/>
  <c r="I58" i="3" s="1"/>
  <c r="AH79" i="3"/>
  <c r="M261" i="11"/>
  <c r="AD71" i="3"/>
  <c r="AE71" i="3" s="1"/>
  <c r="AF71" i="3" s="1"/>
  <c r="Z18" i="3"/>
  <c r="AC60" i="3"/>
  <c r="AW7" i="3"/>
  <c r="AZ7" i="3"/>
  <c r="BO19" i="3"/>
  <c r="W19" i="3" s="1"/>
  <c r="AH19" i="3" s="1"/>
  <c r="BQ65" i="3"/>
  <c r="T65" i="3" s="1"/>
  <c r="BN65" i="3"/>
  <c r="V65" i="3" s="1"/>
  <c r="Y65" i="3" s="1"/>
  <c r="BN19" i="3"/>
  <c r="V19" i="3" s="1"/>
  <c r="Y19" i="3" s="1"/>
  <c r="Z19" i="3" s="1"/>
  <c r="BM19" i="3"/>
  <c r="I19" i="3" s="1"/>
  <c r="AY60" i="3"/>
  <c r="AC71" i="3"/>
  <c r="AY79" i="3"/>
  <c r="AH71" i="3"/>
  <c r="AC37" i="3"/>
  <c r="M182" i="11"/>
  <c r="AI35" i="3"/>
  <c r="AJ35" i="3" s="1"/>
  <c r="AK35" i="3" s="1"/>
  <c r="AN90" i="3"/>
  <c r="AO90" i="3" s="1"/>
  <c r="AD37" i="3"/>
  <c r="AE37" i="3" s="1"/>
  <c r="AF37" i="3" s="1"/>
  <c r="M1083" i="11"/>
  <c r="M1188" i="11"/>
  <c r="M265" i="11"/>
  <c r="M590" i="11"/>
  <c r="AY29" i="3"/>
  <c r="AZ94" i="3"/>
  <c r="AN73" i="3"/>
  <c r="AO73" i="3" s="1"/>
  <c r="M1003" i="11"/>
  <c r="BL52" i="3"/>
  <c r="AC33" i="3"/>
  <c r="AI79" i="3"/>
  <c r="AJ79" i="3" s="1"/>
  <c r="AK79" i="3" s="1"/>
  <c r="M665" i="11"/>
  <c r="M1090" i="11"/>
  <c r="AZ6" i="3"/>
  <c r="M204" i="11"/>
  <c r="M263" i="11"/>
  <c r="M1013" i="11"/>
  <c r="AN35" i="3"/>
  <c r="AO35" i="3" s="1"/>
  <c r="M86" i="11"/>
  <c r="M742" i="11"/>
  <c r="M677" i="11"/>
  <c r="M838" i="11"/>
  <c r="M24" i="11"/>
  <c r="M1022" i="11"/>
  <c r="M933" i="11"/>
  <c r="M545" i="11"/>
  <c r="M360" i="11"/>
  <c r="AH35" i="3"/>
  <c r="AN49" i="3"/>
  <c r="AO49" i="3" s="1"/>
  <c r="AH103" i="3"/>
  <c r="BO31" i="3"/>
  <c r="W31" i="3" s="1"/>
  <c r="M1190" i="11"/>
  <c r="M1009" i="11"/>
  <c r="M882" i="11"/>
  <c r="M792" i="11"/>
  <c r="M890" i="11"/>
  <c r="BP31" i="3"/>
  <c r="X31" i="3" s="1"/>
  <c r="AD65" i="3"/>
  <c r="AE65" i="3" s="1"/>
  <c r="AF65" i="3" s="1"/>
  <c r="BN58" i="3"/>
  <c r="V58" i="3" s="1"/>
  <c r="Y58" i="3" s="1"/>
  <c r="Z58" i="3" s="1"/>
  <c r="BQ58" i="3"/>
  <c r="T58" i="3" s="1"/>
  <c r="AI65" i="3"/>
  <c r="AJ65" i="3" s="1"/>
  <c r="AK65" i="3" s="1"/>
  <c r="M337" i="11"/>
  <c r="M389" i="11"/>
  <c r="BN100" i="3"/>
  <c r="V100" i="3" s="1"/>
  <c r="Y100" i="3" s="1"/>
  <c r="Z100" i="3" s="1"/>
  <c r="AI90" i="3"/>
  <c r="AJ90" i="3" s="1"/>
  <c r="AK90" i="3" s="1"/>
  <c r="AY101" i="3"/>
  <c r="BN31" i="3"/>
  <c r="V31" i="3" s="1"/>
  <c r="Y31" i="3" s="1"/>
  <c r="Z31" i="3" s="1"/>
  <c r="M1151" i="11"/>
  <c r="M958" i="11"/>
  <c r="M859" i="11"/>
  <c r="AY92" i="3"/>
  <c r="AY91" i="3"/>
  <c r="BQ31" i="3"/>
  <c r="T31" i="3" s="1"/>
  <c r="M514" i="11"/>
  <c r="M254" i="11"/>
  <c r="M64" i="11"/>
  <c r="M1121" i="11"/>
  <c r="BL100" i="3"/>
  <c r="BQ100" i="3"/>
  <c r="T100" i="3" s="1"/>
  <c r="AN100" i="3" s="1"/>
  <c r="AH49" i="3"/>
  <c r="M862" i="11"/>
  <c r="AC101" i="3"/>
  <c r="BQ52" i="3"/>
  <c r="T52" i="3" s="1"/>
  <c r="AN52" i="3" s="1"/>
  <c r="AO52" i="3" s="1"/>
  <c r="BO58" i="3"/>
  <c r="W58" i="3" s="1"/>
  <c r="AC58" i="3" s="1"/>
  <c r="AC29" i="3"/>
  <c r="AI60" i="3"/>
  <c r="AJ60" i="3" s="1"/>
  <c r="AK60" i="3" s="1"/>
  <c r="M154" i="11"/>
  <c r="BO52" i="3"/>
  <c r="W52" i="3" s="1"/>
  <c r="BL31" i="3"/>
  <c r="M43" i="11"/>
  <c r="BP52" i="3"/>
  <c r="X52" i="3" s="1"/>
  <c r="AC52" i="3" s="1"/>
  <c r="BL58" i="3"/>
  <c r="AI28" i="3"/>
  <c r="AJ28" i="3" s="1"/>
  <c r="AK28" i="3" s="1"/>
  <c r="BN52" i="3"/>
  <c r="V52" i="3" s="1"/>
  <c r="Y52" i="3" s="1"/>
  <c r="AY52" i="3" s="1"/>
  <c r="BO100" i="3"/>
  <c r="W100" i="3" s="1"/>
  <c r="BM65" i="3"/>
  <c r="I65" i="3" s="1"/>
  <c r="M1006" i="11"/>
  <c r="M812" i="11"/>
  <c r="M1075" i="11"/>
  <c r="M1165" i="11"/>
  <c r="AU28" i="3"/>
  <c r="AU42" i="3"/>
  <c r="AI49" i="3"/>
  <c r="AJ49" i="3" s="1"/>
  <c r="AK49" i="3" s="1"/>
  <c r="AW28" i="3"/>
  <c r="M81" i="11"/>
  <c r="AD60" i="3"/>
  <c r="AE60" i="3" s="1"/>
  <c r="AF60" i="3" s="1"/>
  <c r="AW42" i="3"/>
  <c r="BD44" i="3"/>
  <c r="M303" i="11"/>
  <c r="M978" i="11"/>
  <c r="M237" i="11"/>
  <c r="M517" i="11"/>
  <c r="M733" i="11"/>
  <c r="AY18" i="3"/>
  <c r="AZ25" i="3"/>
  <c r="AD49" i="3"/>
  <c r="AE49" i="3" s="1"/>
  <c r="AF49" i="3" s="1"/>
  <c r="M226" i="11"/>
  <c r="M942" i="11"/>
  <c r="M274" i="11"/>
  <c r="M47" i="11"/>
  <c r="M396" i="11"/>
  <c r="AZ42" i="3"/>
  <c r="AI89" i="3"/>
  <c r="AJ89" i="3" s="1"/>
  <c r="AK89" i="3" s="1"/>
  <c r="M870" i="11"/>
  <c r="M671" i="11"/>
  <c r="AC49" i="3"/>
  <c r="M943" i="11"/>
  <c r="M673" i="11"/>
  <c r="M995" i="11"/>
  <c r="M935" i="11"/>
  <c r="AD28" i="3"/>
  <c r="AE28" i="3" s="1"/>
  <c r="AF28" i="3" s="1"/>
  <c r="AY49" i="3"/>
  <c r="M153" i="11"/>
  <c r="AL49" i="3"/>
  <c r="BD18" i="3"/>
  <c r="M471" i="11"/>
  <c r="AN96" i="3"/>
  <c r="AO96" i="3" s="1"/>
  <c r="M185" i="11"/>
  <c r="M1041" i="11"/>
  <c r="M149" i="11"/>
  <c r="AN92" i="3"/>
  <c r="AO92" i="3" s="1"/>
  <c r="AI92" i="3"/>
  <c r="AJ92" i="3" s="1"/>
  <c r="AK92" i="3" s="1"/>
  <c r="M430" i="11"/>
  <c r="M506" i="11"/>
  <c r="AZ46" i="3"/>
  <c r="AZ101" i="3"/>
  <c r="BD38" i="3"/>
  <c r="AZ38" i="3"/>
  <c r="AH65" i="3"/>
  <c r="M84" i="11"/>
  <c r="BD28" i="3"/>
  <c r="M228" i="11"/>
  <c r="AD29" i="3"/>
  <c r="AE29" i="3" s="1"/>
  <c r="AF29" i="3" s="1"/>
  <c r="M192" i="11"/>
  <c r="AC89" i="3"/>
  <c r="M885" i="11"/>
  <c r="M563" i="11"/>
  <c r="M276" i="11"/>
  <c r="M679" i="11"/>
  <c r="M1127" i="11"/>
  <c r="AD89" i="3"/>
  <c r="AE89" i="3" s="1"/>
  <c r="AF89" i="3" s="1"/>
  <c r="M1062" i="11"/>
  <c r="AN63" i="3"/>
  <c r="AO63" i="3" s="1"/>
  <c r="M940" i="11"/>
  <c r="M118" i="11"/>
  <c r="M1049" i="11"/>
  <c r="M331" i="11"/>
  <c r="M565" i="11"/>
  <c r="M279" i="11"/>
  <c r="M764" i="11"/>
  <c r="M740" i="11"/>
  <c r="M552" i="11"/>
  <c r="M1182" i="11"/>
  <c r="M283" i="11"/>
  <c r="M20" i="11"/>
  <c r="M1020" i="11"/>
  <c r="M1045" i="11"/>
  <c r="M230" i="11"/>
  <c r="AD35" i="3"/>
  <c r="AE35" i="3" s="1"/>
  <c r="AF35" i="3" s="1"/>
  <c r="M61" i="11"/>
  <c r="M93" i="11"/>
  <c r="M1135" i="11"/>
  <c r="M34" i="11"/>
  <c r="M1184" i="11"/>
  <c r="M603" i="11"/>
  <c r="M347" i="11"/>
  <c r="M738" i="11"/>
  <c r="M1163" i="11"/>
  <c r="M785" i="11"/>
  <c r="AY58" i="3"/>
  <c r="AH78" i="3"/>
  <c r="M570" i="11"/>
  <c r="M608" i="11"/>
  <c r="AZ76" i="3"/>
  <c r="M944" i="11"/>
  <c r="M267" i="11"/>
  <c r="AD79" i="3"/>
  <c r="AE79" i="3" s="1"/>
  <c r="AF79" i="3" s="1"/>
  <c r="M720" i="11"/>
  <c r="M495" i="11"/>
  <c r="M1131" i="11"/>
  <c r="M789" i="11"/>
  <c r="M305" i="11"/>
  <c r="M814" i="11"/>
  <c r="M898" i="11"/>
  <c r="M198" i="11"/>
  <c r="M879" i="11"/>
  <c r="M880" i="11"/>
  <c r="M558" i="11"/>
  <c r="M913" i="11"/>
  <c r="M576" i="11"/>
  <c r="M176" i="11"/>
  <c r="M752" i="11"/>
  <c r="M878" i="11"/>
  <c r="M375" i="11"/>
  <c r="M473" i="11"/>
  <c r="M1125" i="11"/>
  <c r="M262" i="11"/>
  <c r="M1060" i="11"/>
  <c r="M3" i="11"/>
  <c r="M950" i="11"/>
  <c r="M867" i="11"/>
  <c r="AI46" i="3"/>
  <c r="AJ46" i="3" s="1"/>
  <c r="AK46" i="3" s="1"/>
  <c r="M385" i="11"/>
  <c r="AW44" i="3"/>
  <c r="BD25" i="3"/>
  <c r="M77" i="11"/>
  <c r="M197" i="11"/>
  <c r="M184" i="11"/>
  <c r="M1143" i="11"/>
  <c r="M781" i="11"/>
  <c r="AW56" i="3"/>
  <c r="M540" i="11"/>
  <c r="M952" i="11"/>
  <c r="AC92" i="3"/>
  <c r="M729" i="11"/>
  <c r="AY78" i="3"/>
  <c r="M317" i="11"/>
  <c r="AZ99" i="3"/>
  <c r="M575" i="11"/>
  <c r="AU25" i="3"/>
  <c r="M598" i="11"/>
  <c r="M523" i="11"/>
  <c r="M382" i="11"/>
  <c r="M1052" i="11"/>
  <c r="M1056" i="11"/>
  <c r="M1170" i="11"/>
  <c r="M462" i="11"/>
  <c r="M1140" i="11"/>
  <c r="M316" i="11"/>
  <c r="M456" i="11"/>
  <c r="M1139" i="11"/>
  <c r="M607" i="11"/>
  <c r="M604" i="11"/>
  <c r="M428" i="11"/>
  <c r="M612" i="11"/>
  <c r="M816" i="11"/>
  <c r="AD92" i="3"/>
  <c r="AE92" i="3" s="1"/>
  <c r="AF92" i="3" s="1"/>
  <c r="M984" i="11"/>
  <c r="M730" i="11"/>
  <c r="M647" i="11"/>
  <c r="M1046" i="11"/>
  <c r="AC35" i="3"/>
  <c r="M1093" i="11"/>
  <c r="AU44" i="3"/>
  <c r="M605" i="11"/>
  <c r="BD76" i="3"/>
  <c r="AO28" i="3"/>
  <c r="M505" i="11"/>
  <c r="M600" i="11"/>
  <c r="M902" i="11"/>
  <c r="M19" i="11"/>
  <c r="M822" i="11"/>
  <c r="M668" i="11"/>
  <c r="M710" i="11"/>
  <c r="M716" i="11"/>
  <c r="M4" i="11"/>
  <c r="M164" i="11"/>
  <c r="M310" i="11"/>
  <c r="M393" i="11"/>
  <c r="M1109" i="11"/>
  <c r="M1156" i="11"/>
  <c r="M844" i="11"/>
  <c r="M791" i="11"/>
  <c r="AH29" i="3"/>
  <c r="M651" i="11"/>
  <c r="M412" i="11"/>
  <c r="M972" i="11"/>
  <c r="AI29" i="3"/>
  <c r="AJ29" i="3" s="1"/>
  <c r="AK29" i="3" s="1"/>
  <c r="M639" i="11"/>
  <c r="M35" i="11"/>
  <c r="M96" i="11"/>
  <c r="M148" i="11"/>
  <c r="M489" i="11"/>
  <c r="M712" i="11"/>
  <c r="M643" i="11"/>
  <c r="AY96" i="3"/>
  <c r="M466" i="11"/>
  <c r="M588" i="11"/>
  <c r="M1149" i="11"/>
  <c r="M1078" i="11"/>
  <c r="M783" i="11"/>
  <c r="M1115" i="11"/>
  <c r="M321" i="11"/>
  <c r="AZ96" i="3"/>
  <c r="M123" i="11"/>
  <c r="M186" i="11"/>
  <c r="M617" i="11"/>
  <c r="M363" i="11"/>
  <c r="AZ15" i="3"/>
  <c r="AZ82" i="3"/>
  <c r="M392" i="11"/>
  <c r="M286" i="11"/>
  <c r="M737" i="11"/>
  <c r="AD44" i="3"/>
  <c r="AE44" i="3" s="1"/>
  <c r="AF44" i="3" s="1"/>
  <c r="M377" i="11"/>
  <c r="AC97" i="3"/>
  <c r="M584" i="11"/>
  <c r="M642" i="11"/>
  <c r="M468" i="11"/>
  <c r="AD90" i="3"/>
  <c r="AE90" i="3" s="1"/>
  <c r="AF90" i="3" s="1"/>
  <c r="M358" i="11"/>
  <c r="AY46" i="3"/>
  <c r="M104" i="11"/>
  <c r="M983" i="11"/>
  <c r="AZ58" i="3"/>
  <c r="M906" i="11"/>
  <c r="M726" i="11"/>
  <c r="AC44" i="3"/>
  <c r="M734" i="11"/>
  <c r="AD97" i="3"/>
  <c r="AE97" i="3" s="1"/>
  <c r="AF97" i="3" s="1"/>
  <c r="M788" i="11"/>
  <c r="AH90" i="3"/>
  <c r="M640" i="11"/>
  <c r="M583" i="11"/>
  <c r="M364" i="11"/>
  <c r="M891" i="11"/>
  <c r="M756" i="11"/>
  <c r="M669" i="11"/>
  <c r="M170" i="11"/>
  <c r="AZ16" i="3"/>
  <c r="M280" i="11"/>
  <c r="AL28" i="3"/>
  <c r="M328" i="11"/>
  <c r="M142" i="11"/>
  <c r="M905" i="11"/>
  <c r="AL63" i="3"/>
  <c r="M218" i="11"/>
  <c r="AC40" i="3"/>
  <c r="M722" i="11"/>
  <c r="M614" i="11"/>
  <c r="M134" i="11"/>
  <c r="M40" i="11"/>
  <c r="AL90" i="3"/>
  <c r="M16" i="11"/>
  <c r="M593" i="11"/>
  <c r="M277" i="11"/>
  <c r="M345" i="11"/>
  <c r="AI44" i="3"/>
  <c r="AJ44" i="3" s="1"/>
  <c r="AK44" i="3" s="1"/>
  <c r="AL35" i="3"/>
  <c r="M818" i="11"/>
  <c r="AH97" i="3"/>
  <c r="M1103" i="11"/>
  <c r="M449" i="11"/>
  <c r="M568" i="11"/>
  <c r="M394" i="11"/>
  <c r="M284" i="11"/>
  <c r="M194" i="11"/>
  <c r="M208" i="11"/>
  <c r="M949" i="11"/>
  <c r="M543" i="11"/>
  <c r="M724" i="11"/>
  <c r="M884" i="11"/>
  <c r="M625" i="11"/>
  <c r="M272" i="11"/>
  <c r="M349" i="11"/>
  <c r="M842" i="11"/>
  <c r="M1158" i="11"/>
  <c r="M963" i="11"/>
  <c r="M776" i="11"/>
  <c r="M1061" i="11"/>
  <c r="M1199" i="11"/>
  <c r="AN91" i="3"/>
  <c r="AO91" i="3" s="1"/>
  <c r="AL91" i="3"/>
  <c r="M806" i="11"/>
  <c r="M695" i="11"/>
  <c r="M762" i="11"/>
  <c r="M259" i="11"/>
  <c r="BD50" i="3"/>
  <c r="M509" i="11"/>
  <c r="M294" i="11"/>
  <c r="M44" i="11"/>
  <c r="M513" i="11"/>
  <c r="M550" i="11"/>
  <c r="M962" i="11"/>
  <c r="M864" i="11"/>
  <c r="M313" i="11"/>
  <c r="M458" i="11"/>
  <c r="M848" i="11"/>
  <c r="M611" i="11"/>
  <c r="M810" i="11"/>
  <c r="M895" i="11"/>
  <c r="M632" i="11"/>
  <c r="M441" i="11"/>
  <c r="M645" i="11"/>
  <c r="M1152" i="11"/>
  <c r="M662" i="11"/>
  <c r="M124" i="11"/>
  <c r="M384" i="11"/>
  <c r="M410" i="11"/>
  <c r="M1091" i="11"/>
  <c r="M705" i="11"/>
  <c r="M424" i="11"/>
  <c r="M964" i="11"/>
  <c r="M46" i="11"/>
  <c r="M314" i="11"/>
  <c r="M373" i="11"/>
  <c r="M854" i="11"/>
  <c r="M974" i="11"/>
  <c r="M850" i="11"/>
  <c r="M809" i="11"/>
  <c r="M180" i="11"/>
  <c r="M85" i="11"/>
  <c r="BD8" i="3"/>
  <c r="M801" i="11"/>
  <c r="M619" i="11"/>
  <c r="M109" i="11"/>
  <c r="M167" i="11"/>
  <c r="M26" i="11"/>
  <c r="M273" i="11"/>
  <c r="M979" i="11"/>
  <c r="M369" i="11"/>
  <c r="AZ89" i="3"/>
  <c r="M178" i="11"/>
  <c r="M579" i="11"/>
  <c r="M566" i="11"/>
  <c r="M368" i="11"/>
  <c r="M1034" i="11"/>
  <c r="M808" i="11"/>
  <c r="AZ45" i="3"/>
  <c r="BD29" i="3"/>
  <c r="AZ29" i="3"/>
  <c r="M201" i="11"/>
  <c r="M361" i="11"/>
  <c r="M339" i="11"/>
  <c r="M516" i="11"/>
  <c r="M217" i="11"/>
  <c r="AZ36" i="3"/>
  <c r="M1005" i="11"/>
  <c r="M999" i="11"/>
  <c r="M42" i="11"/>
  <c r="M510" i="11"/>
  <c r="M383" i="11"/>
  <c r="AZ40" i="3"/>
  <c r="M821" i="11"/>
  <c r="M246" i="11"/>
  <c r="M1063" i="11"/>
  <c r="M1039" i="11"/>
  <c r="M877" i="11"/>
  <c r="M1087" i="11"/>
  <c r="M102" i="11"/>
  <c r="M1092" i="11"/>
  <c r="M757" i="11"/>
  <c r="M1181" i="11"/>
  <c r="M315" i="11"/>
  <c r="M551" i="11"/>
  <c r="M938" i="11"/>
  <c r="M886" i="11"/>
  <c r="M219" i="11"/>
  <c r="BD16" i="3"/>
  <c r="M908" i="11"/>
  <c r="M827" i="11"/>
  <c r="M49" i="11"/>
  <c r="M290" i="11"/>
  <c r="AZ35" i="3"/>
  <c r="M1134" i="11"/>
  <c r="M653" i="11"/>
  <c r="M1031" i="11"/>
  <c r="M172" i="11"/>
  <c r="M371" i="11"/>
  <c r="M807" i="11"/>
  <c r="M553" i="11"/>
  <c r="M1148" i="11"/>
  <c r="M926" i="11"/>
  <c r="M817" i="11"/>
  <c r="M739" i="11"/>
  <c r="M101" i="11"/>
  <c r="M429" i="11"/>
  <c r="M511" i="11"/>
  <c r="M116" i="11"/>
  <c r="M160" i="11"/>
  <c r="M255" i="11"/>
  <c r="M7" i="11"/>
  <c r="M140" i="11"/>
  <c r="M82" i="11"/>
  <c r="M146" i="11"/>
  <c r="M667" i="11"/>
  <c r="M100" i="11"/>
  <c r="M644" i="11"/>
  <c r="M832" i="11"/>
  <c r="M969" i="11"/>
  <c r="M869" i="11"/>
  <c r="M417" i="11"/>
  <c r="M582" i="11"/>
  <c r="M526" i="11"/>
  <c r="M534" i="11"/>
  <c r="M1136" i="11"/>
  <c r="M1028" i="11"/>
  <c r="M325" i="11"/>
  <c r="AC76" i="3"/>
  <c r="M136" i="11"/>
  <c r="AI103" i="3"/>
  <c r="AJ103" i="3" s="1"/>
  <c r="AK103" i="3" s="1"/>
  <c r="M875" i="11"/>
  <c r="M811" i="11"/>
  <c r="M508" i="11"/>
  <c r="M122" i="11"/>
  <c r="M461" i="11"/>
  <c r="M845" i="11"/>
  <c r="M312" i="11"/>
  <c r="M132" i="11"/>
  <c r="M691" i="11"/>
  <c r="M390" i="11"/>
  <c r="M51" i="11"/>
  <c r="M1108" i="11"/>
  <c r="M173" i="11"/>
  <c r="M901" i="11"/>
  <c r="M846" i="11"/>
  <c r="M414" i="11"/>
  <c r="M1155" i="11"/>
  <c r="M976" i="11"/>
  <c r="M702" i="11"/>
  <c r="M498" i="11"/>
  <c r="M95" i="11"/>
  <c r="M472" i="11"/>
  <c r="M115" i="11"/>
  <c r="M388" i="11"/>
  <c r="M22" i="11"/>
  <c r="M481" i="11"/>
  <c r="M202" i="11"/>
  <c r="M216" i="11"/>
  <c r="M910" i="11"/>
  <c r="M501" i="11"/>
  <c r="M1073" i="11"/>
  <c r="M1082" i="11"/>
  <c r="AZ22" i="3"/>
  <c r="M923" i="11"/>
  <c r="M1074" i="11"/>
  <c r="M304" i="11"/>
  <c r="M356" i="11"/>
  <c r="M637" i="11"/>
  <c r="M1118" i="11"/>
  <c r="M1043" i="11"/>
  <c r="M981" i="11"/>
  <c r="M728" i="11"/>
  <c r="M25" i="11"/>
  <c r="M119" i="11"/>
  <c r="M684" i="11"/>
  <c r="M242" i="11"/>
  <c r="M512" i="11"/>
  <c r="M438" i="11"/>
  <c r="M743" i="11"/>
  <c r="M73" i="11"/>
  <c r="M264" i="11"/>
  <c r="M434" i="11"/>
  <c r="M515" i="11"/>
  <c r="M1010" i="11"/>
  <c r="M155" i="11"/>
  <c r="M759" i="11"/>
  <c r="M675" i="11"/>
  <c r="M622" i="11"/>
  <c r="M17" i="11"/>
  <c r="M721" i="11"/>
  <c r="M723" i="11"/>
  <c r="M928" i="11"/>
  <c r="M531" i="11"/>
  <c r="M240" i="11"/>
  <c r="M521" i="11"/>
  <c r="M980" i="11"/>
  <c r="M574" i="11"/>
  <c r="AY31" i="3"/>
  <c r="BD46" i="3"/>
  <c r="BD84" i="3"/>
  <c r="M840" i="11"/>
  <c r="M308" i="11"/>
  <c r="M892" i="11"/>
  <c r="M606" i="11"/>
  <c r="M941" i="11"/>
  <c r="M68" i="11"/>
  <c r="M770" i="11"/>
  <c r="M907" i="11"/>
  <c r="M120" i="11"/>
  <c r="M395" i="11"/>
  <c r="M302" i="11"/>
  <c r="M260" i="11"/>
  <c r="M1018" i="11"/>
  <c r="M121" i="11"/>
  <c r="M421" i="11"/>
  <c r="M527" i="11"/>
  <c r="M1168" i="11"/>
  <c r="M970" i="11"/>
  <c r="M319" i="11"/>
  <c r="M927" i="11"/>
  <c r="M459" i="11"/>
  <c r="M937" i="11"/>
  <c r="M1058" i="11"/>
  <c r="M1107" i="11"/>
  <c r="M419" i="11"/>
  <c r="M1116" i="11"/>
  <c r="M988" i="11"/>
  <c r="AY90" i="3"/>
  <c r="BD94" i="3"/>
  <c r="AC57" i="3"/>
  <c r="AI57" i="3"/>
  <c r="AJ57" i="3" s="1"/>
  <c r="AK57" i="3" s="1"/>
  <c r="AH57" i="3"/>
  <c r="M1008" i="11"/>
  <c r="M572" i="11"/>
  <c r="AD33" i="3"/>
  <c r="AE33" i="3" s="1"/>
  <c r="AF33" i="3" s="1"/>
  <c r="M454" i="11"/>
  <c r="M65" i="11"/>
  <c r="M503" i="11"/>
  <c r="M485" i="11"/>
  <c r="M767" i="11"/>
  <c r="M152" i="11"/>
  <c r="M55" i="11"/>
  <c r="M147" i="11"/>
  <c r="M296" i="11"/>
  <c r="M725" i="11"/>
  <c r="AL57" i="3"/>
  <c r="M815" i="11"/>
  <c r="M1032" i="11"/>
  <c r="M469" i="11"/>
  <c r="M435" i="11"/>
  <c r="M992" i="11"/>
  <c r="AD78" i="3"/>
  <c r="AE78" i="3" s="1"/>
  <c r="AF78" i="3" s="1"/>
  <c r="AI78" i="3"/>
  <c r="AJ78" i="3" s="1"/>
  <c r="AK78" i="3" s="1"/>
  <c r="M760" i="11"/>
  <c r="M687" i="11"/>
  <c r="M391" i="11"/>
  <c r="M138" i="11"/>
  <c r="M76" i="11"/>
  <c r="M13" i="11"/>
  <c r="M680" i="11"/>
  <c r="M474" i="11"/>
  <c r="M499" i="11"/>
  <c r="M212" i="11"/>
  <c r="M1007" i="11"/>
  <c r="M199" i="11"/>
  <c r="M1025" i="11"/>
  <c r="M535" i="11"/>
  <c r="M232" i="11"/>
  <c r="M748" i="11"/>
  <c r="AH54" i="3"/>
  <c r="AD54" i="3"/>
  <c r="AE54" i="3" s="1"/>
  <c r="AF54" i="3" s="1"/>
  <c r="AC54" i="3"/>
  <c r="AI54" i="3"/>
  <c r="AJ54" i="3" s="1"/>
  <c r="AK54" i="3" s="1"/>
  <c r="M1051" i="11"/>
  <c r="M1106" i="11"/>
  <c r="M973" i="11"/>
  <c r="AW87" i="3"/>
  <c r="AZ87" i="3"/>
  <c r="AU87" i="3"/>
  <c r="BD87" i="3"/>
  <c r="M1064" i="11"/>
  <c r="M664" i="11"/>
  <c r="M275" i="11"/>
  <c r="M156" i="11"/>
  <c r="M31" i="11"/>
  <c r="M754" i="11"/>
  <c r="AI19" i="3"/>
  <c r="AJ19" i="3" s="1"/>
  <c r="AK19" i="3" s="1"/>
  <c r="AD19" i="3"/>
  <c r="AE19" i="3" s="1"/>
  <c r="AF19" i="3" s="1"/>
  <c r="M327" i="11"/>
  <c r="M210" i="11"/>
  <c r="M888" i="11"/>
  <c r="M975" i="11"/>
  <c r="M179" i="11"/>
  <c r="M27" i="11"/>
  <c r="M67" i="11"/>
  <c r="M804" i="11"/>
  <c r="M1089" i="11"/>
  <c r="AZ39" i="3"/>
  <c r="AC103" i="3"/>
  <c r="M866" i="11"/>
  <c r="M522" i="11"/>
  <c r="M379" i="11"/>
  <c r="M196" i="11"/>
  <c r="M401" i="11"/>
  <c r="M982" i="11"/>
  <c r="M586" i="11"/>
  <c r="AD103" i="3"/>
  <c r="AE103" i="3" s="1"/>
  <c r="AF103" i="3" s="1"/>
  <c r="M1068" i="11"/>
  <c r="M894" i="11"/>
  <c r="M1150" i="11"/>
  <c r="M1123" i="11"/>
  <c r="M497" i="11"/>
  <c r="M408" i="11"/>
  <c r="M258" i="11"/>
  <c r="M676" i="11"/>
  <c r="M151" i="11"/>
  <c r="M299" i="11"/>
  <c r="M58" i="11"/>
  <c r="M985" i="11"/>
  <c r="AZ41" i="3"/>
  <c r="M872" i="11"/>
  <c r="M876" i="11"/>
  <c r="M638" i="11"/>
  <c r="M1162" i="11"/>
  <c r="M610" i="11"/>
  <c r="AH76" i="3"/>
  <c r="M1144" i="11"/>
  <c r="M787" i="11"/>
  <c r="M1067" i="11"/>
  <c r="M12" i="11"/>
  <c r="M21" i="11"/>
  <c r="M362" i="11"/>
  <c r="M307" i="11"/>
  <c r="M777" i="11"/>
  <c r="M629" i="11"/>
  <c r="AI33" i="3"/>
  <c r="AJ33" i="3" s="1"/>
  <c r="AK33" i="3" s="1"/>
  <c r="M784" i="11"/>
  <c r="M1198" i="11"/>
  <c r="M887" i="11"/>
  <c r="M520" i="11"/>
  <c r="M247" i="11"/>
  <c r="M802" i="11"/>
  <c r="M616" i="11"/>
  <c r="M38" i="11"/>
  <c r="M672" i="11"/>
  <c r="M52" i="11"/>
  <c r="M348" i="11"/>
  <c r="M251" i="11"/>
  <c r="M301" i="11"/>
  <c r="M113" i="11"/>
  <c r="M112" i="11"/>
  <c r="M211" i="11"/>
  <c r="M851" i="11"/>
  <c r="M99" i="11"/>
  <c r="M701" i="11"/>
  <c r="M1191" i="11"/>
  <c r="M830" i="11"/>
  <c r="M919" i="11"/>
  <c r="M1166" i="11"/>
  <c r="AI76" i="3"/>
  <c r="AJ76" i="3" s="1"/>
  <c r="AK76" i="3" s="1"/>
  <c r="AZ50" i="3"/>
  <c r="M5" i="11"/>
  <c r="M1176" i="11"/>
  <c r="M137" i="11"/>
  <c r="M1048" i="11"/>
  <c r="M398" i="11"/>
  <c r="M409" i="11"/>
  <c r="M87" i="11"/>
  <c r="M386" i="11"/>
  <c r="M53" i="11"/>
  <c r="M397" i="11"/>
  <c r="M117" i="11"/>
  <c r="M150" i="11"/>
  <c r="AD57" i="3"/>
  <c r="AE57" i="3" s="1"/>
  <c r="AF57" i="3" s="1"/>
  <c r="M1044" i="11"/>
  <c r="M494" i="11"/>
  <c r="M298" i="11"/>
  <c r="M350" i="11"/>
  <c r="M681" i="11"/>
  <c r="M407" i="11"/>
  <c r="M144" i="11"/>
  <c r="M599" i="11"/>
  <c r="M711" i="11"/>
  <c r="M376" i="11"/>
  <c r="M479" i="11"/>
  <c r="M597" i="11"/>
  <c r="M796" i="11"/>
  <c r="M326" i="11"/>
  <c r="M213" i="11"/>
  <c r="AN54" i="3"/>
  <c r="AO54" i="3" s="1"/>
  <c r="M930" i="11"/>
  <c r="M839" i="11"/>
  <c r="M915" i="11"/>
  <c r="Z64" i="3"/>
  <c r="AY64" i="3"/>
  <c r="M547" i="11"/>
  <c r="AD76" i="3"/>
  <c r="AE76" i="3" s="1"/>
  <c r="AF76" i="3" s="1"/>
  <c r="AH33" i="3"/>
  <c r="AI40" i="3"/>
  <c r="AJ40" i="3" s="1"/>
  <c r="AK40" i="3" s="1"/>
  <c r="AD40" i="3"/>
  <c r="AE40" i="3" s="1"/>
  <c r="AF40" i="3" s="1"/>
  <c r="AW45" i="3"/>
  <c r="AU45" i="3"/>
  <c r="BD45" i="3"/>
  <c r="M405" i="11"/>
  <c r="M257" i="11"/>
  <c r="AZ32" i="3"/>
  <c r="M1172" i="11"/>
  <c r="M110" i="11"/>
  <c r="M463" i="11"/>
  <c r="AZ81" i="3"/>
  <c r="AU81" i="3"/>
  <c r="BD81" i="3"/>
  <c r="AL78" i="3"/>
  <c r="AN78" i="3"/>
  <c r="AO78" i="3" s="1"/>
  <c r="AY40" i="3"/>
  <c r="M649" i="11"/>
  <c r="M1124" i="11"/>
  <c r="M843" i="11"/>
  <c r="M855" i="11"/>
  <c r="M613" i="11"/>
  <c r="M831" i="11"/>
  <c r="M936" i="11"/>
  <c r="M1141" i="11"/>
  <c r="M359" i="11"/>
  <c r="M690" i="11"/>
  <c r="M57" i="11"/>
  <c r="M423" i="11"/>
  <c r="M244" i="11"/>
  <c r="M564" i="11"/>
  <c r="M487" i="11"/>
  <c r="M206" i="11"/>
  <c r="M799" i="11"/>
  <c r="M15" i="11"/>
  <c r="M366" i="11"/>
  <c r="M601" i="11"/>
  <c r="M203" i="11"/>
  <c r="M270" i="11"/>
  <c r="AZ68" i="3"/>
  <c r="M768" i="11"/>
  <c r="M747" i="11"/>
  <c r="M833" i="11"/>
  <c r="M858" i="11"/>
  <c r="M994" i="11"/>
  <c r="M633" i="11"/>
  <c r="AZ72" i="3"/>
  <c r="M324" i="11"/>
  <c r="M1192" i="11"/>
  <c r="M775" i="11"/>
  <c r="M861" i="11"/>
  <c r="M989" i="11"/>
  <c r="M357" i="11"/>
  <c r="M411" i="11"/>
  <c r="M954" i="11"/>
  <c r="M1065" i="11"/>
  <c r="M746" i="11"/>
  <c r="M790" i="11"/>
  <c r="Z103" i="3"/>
  <c r="AY103" i="3"/>
  <c r="M795" i="11"/>
  <c r="M400" i="11"/>
  <c r="M66" i="11"/>
  <c r="M289" i="11"/>
  <c r="M268" i="11"/>
  <c r="M1017" i="11"/>
  <c r="M1055" i="11"/>
  <c r="M595" i="11"/>
  <c r="M133" i="11"/>
  <c r="M91" i="11"/>
  <c r="M1001" i="11"/>
  <c r="M141" i="11"/>
  <c r="M83" i="11"/>
  <c r="M945" i="11"/>
  <c r="M824" i="11"/>
  <c r="M145" i="11"/>
  <c r="M14" i="11"/>
  <c r="BD5" i="3"/>
  <c r="M655" i="11"/>
  <c r="M932" i="11"/>
  <c r="M1035" i="11"/>
  <c r="AH101" i="3"/>
  <c r="M714" i="11"/>
  <c r="M834" i="11"/>
  <c r="M778" i="11"/>
  <c r="M782" i="11"/>
  <c r="M427" i="11"/>
  <c r="M663" i="11"/>
  <c r="M103" i="11"/>
  <c r="M1196" i="11"/>
  <c r="M966" i="11"/>
  <c r="M1142" i="11"/>
  <c r="BD77" i="3"/>
  <c r="M609" i="11"/>
  <c r="M917" i="11"/>
  <c r="M578" i="11"/>
  <c r="M544" i="11"/>
  <c r="M897" i="11"/>
  <c r="M106" i="11"/>
  <c r="AU76" i="3"/>
  <c r="AW76" i="3"/>
  <c r="M1161" i="11"/>
  <c r="M139" i="11"/>
  <c r="M483" i="11"/>
  <c r="M1100" i="11"/>
  <c r="M1179" i="11"/>
  <c r="M1079" i="11"/>
  <c r="M1137" i="11"/>
  <c r="M929" i="11"/>
  <c r="BD91" i="3"/>
  <c r="AZ91" i="3"/>
  <c r="AW91" i="3"/>
  <c r="AU91" i="3"/>
  <c r="M71" i="11"/>
  <c r="M403" i="11"/>
  <c r="M480" i="11"/>
  <c r="M798" i="11"/>
  <c r="M567" i="11"/>
  <c r="M62" i="11"/>
  <c r="M288" i="11"/>
  <c r="M214" i="11"/>
  <c r="M883" i="11"/>
  <c r="M491" i="11"/>
  <c r="M159" i="11"/>
  <c r="M826" i="11"/>
  <c r="M502" i="11"/>
  <c r="M245" i="11"/>
  <c r="M823" i="11"/>
  <c r="M346" i="11"/>
  <c r="M56" i="11"/>
  <c r="M803" i="11"/>
  <c r="M624" i="11"/>
  <c r="M297" i="11"/>
  <c r="M381" i="11"/>
  <c r="M751" i="11"/>
  <c r="M222" i="11"/>
  <c r="M426" i="11"/>
  <c r="M577" i="11"/>
  <c r="BD7" i="3"/>
  <c r="M914" i="11"/>
  <c r="AL37" i="3"/>
  <c r="M537" i="11"/>
  <c r="M455" i="11"/>
  <c r="M318" i="11"/>
  <c r="M37" i="11"/>
  <c r="M1138" i="11"/>
  <c r="M852" i="11"/>
  <c r="M1033" i="11"/>
  <c r="M533" i="11"/>
  <c r="M1080" i="11"/>
  <c r="M311" i="11"/>
  <c r="M41" i="11"/>
  <c r="AY48" i="3"/>
  <c r="M108" i="11"/>
  <c r="M1000" i="11"/>
  <c r="M741" i="11"/>
  <c r="M143" i="11"/>
  <c r="M623" i="11"/>
  <c r="M336" i="11"/>
  <c r="AL33" i="3"/>
  <c r="M627" i="11"/>
  <c r="M1038" i="11"/>
  <c r="M841" i="11"/>
  <c r="M1200" i="11"/>
  <c r="M1180" i="11"/>
  <c r="M1081" i="11"/>
  <c r="M569" i="11"/>
  <c r="M925" i="11"/>
  <c r="AY57" i="3"/>
  <c r="M525" i="11"/>
  <c r="M1178" i="11"/>
  <c r="M1126" i="11"/>
  <c r="M518" i="11"/>
  <c r="M931" i="11"/>
  <c r="M548" i="11"/>
  <c r="M871" i="11"/>
  <c r="M1167" i="11"/>
  <c r="M163" i="11"/>
  <c r="M422" i="11"/>
  <c r="M168" i="11"/>
  <c r="M828" i="11"/>
  <c r="M432" i="11"/>
  <c r="M59" i="11"/>
  <c r="M560" i="11"/>
  <c r="M699" i="11"/>
  <c r="M157" i="11"/>
  <c r="M555" i="11"/>
  <c r="M74" i="11"/>
  <c r="M105" i="11"/>
  <c r="M451" i="11"/>
  <c r="M453" i="11"/>
  <c r="M1110" i="11"/>
  <c r="M236" i="11"/>
  <c r="M541" i="11"/>
  <c r="M450" i="11"/>
  <c r="M171" i="11"/>
  <c r="M971" i="11"/>
  <c r="AD62" i="3"/>
  <c r="AE62" i="3" s="1"/>
  <c r="AF62" i="3" s="1"/>
  <c r="M1077" i="11"/>
  <c r="M440" i="11"/>
  <c r="M813" i="11"/>
  <c r="M986" i="11"/>
  <c r="M661" i="11"/>
  <c r="BD56" i="3"/>
  <c r="M8" i="11"/>
  <c r="M354" i="11"/>
  <c r="M443" i="11"/>
  <c r="M399" i="11"/>
  <c r="M433" i="11"/>
  <c r="M1195" i="11"/>
  <c r="M1021" i="11"/>
  <c r="M881" i="11"/>
  <c r="M594" i="11"/>
  <c r="M309" i="11"/>
  <c r="M688" i="11"/>
  <c r="M911" i="11"/>
  <c r="M404" i="11"/>
  <c r="M618" i="11"/>
  <c r="M478" i="11"/>
  <c r="M125" i="11"/>
  <c r="M300" i="11"/>
  <c r="M63" i="11"/>
  <c r="M225" i="11"/>
  <c r="M341" i="11"/>
  <c r="M476" i="11"/>
  <c r="BD40" i="3"/>
  <c r="M340" i="11"/>
  <c r="M413" i="11"/>
  <c r="M1088" i="11"/>
  <c r="M1119" i="11"/>
  <c r="M1036" i="11"/>
  <c r="M1102" i="11"/>
  <c r="M448" i="11"/>
  <c r="M425" i="11"/>
  <c r="M990" i="11"/>
  <c r="M444" i="11"/>
  <c r="M447" i="11"/>
  <c r="M420" i="11"/>
  <c r="M418" i="11"/>
  <c r="AY28" i="3"/>
  <c r="Z28" i="3"/>
  <c r="AY54" i="3"/>
  <c r="AZ56" i="3"/>
  <c r="M227" i="11"/>
  <c r="M1057" i="11"/>
  <c r="M183" i="11"/>
  <c r="M758" i="11"/>
  <c r="M365" i="11"/>
  <c r="M820" i="11"/>
  <c r="M1011" i="11"/>
  <c r="M562" i="11"/>
  <c r="M1012" i="11"/>
  <c r="M329" i="11"/>
  <c r="M696" i="11"/>
  <c r="M97" i="11"/>
  <c r="M351" i="11"/>
  <c r="M819" i="11"/>
  <c r="M596" i="11"/>
  <c r="M129" i="11"/>
  <c r="M735" i="11"/>
  <c r="M338" i="11"/>
  <c r="M475" i="11"/>
  <c r="M127" i="11"/>
  <c r="M718" i="11"/>
  <c r="M195" i="11"/>
  <c r="M378" i="11"/>
  <c r="M39" i="11"/>
  <c r="M666" i="11"/>
  <c r="BD35" i="3"/>
  <c r="M749" i="11"/>
  <c r="M249" i="11"/>
  <c r="M1193" i="11"/>
  <c r="M343" i="11"/>
  <c r="M554" i="11"/>
  <c r="M165" i="11"/>
  <c r="BD15" i="3"/>
  <c r="M765" i="11"/>
  <c r="M335" i="11"/>
  <c r="M89" i="11"/>
  <c r="M1016" i="11"/>
  <c r="M187" i="11"/>
  <c r="M1197" i="11"/>
  <c r="M90" i="11"/>
  <c r="M330" i="11"/>
  <c r="M689" i="11"/>
  <c r="M496" i="11"/>
  <c r="M685" i="11"/>
  <c r="M256" i="11"/>
  <c r="M80" i="11"/>
  <c r="M683" i="11"/>
  <c r="M507" i="11"/>
  <c r="M306" i="11"/>
  <c r="M682" i="11"/>
  <c r="M482" i="11"/>
  <c r="M23" i="11"/>
  <c r="BD99" i="3"/>
  <c r="M825" i="11"/>
  <c r="M135" i="11"/>
  <c r="M161" i="11"/>
  <c r="M248" i="11"/>
  <c r="M556" i="11"/>
  <c r="M703" i="11"/>
  <c r="M1054" i="11"/>
  <c r="M559" i="11"/>
  <c r="M130" i="11"/>
  <c r="M490" i="11"/>
  <c r="M904" i="11"/>
  <c r="M488" i="11"/>
  <c r="M998" i="11"/>
  <c r="M1111" i="11"/>
  <c r="M1096" i="11"/>
  <c r="M678" i="11"/>
  <c r="M504" i="11"/>
  <c r="M674" i="11"/>
  <c r="M997" i="11"/>
  <c r="M868" i="11"/>
  <c r="M452" i="11"/>
  <c r="M207" i="11"/>
  <c r="M470" i="11"/>
  <c r="M253" i="11"/>
  <c r="M800" i="11"/>
  <c r="M1019" i="11"/>
  <c r="M209" i="11"/>
  <c r="M1015" i="11"/>
  <c r="Z62" i="3"/>
  <c r="AY62" i="3"/>
  <c r="M557" i="11"/>
  <c r="M406" i="11"/>
  <c r="M18" i="11"/>
  <c r="AZ19" i="3"/>
  <c r="M727" i="11"/>
  <c r="BD63" i="3"/>
  <c r="M719" i="11"/>
  <c r="M763" i="11"/>
  <c r="M477" i="11"/>
  <c r="M492" i="11"/>
  <c r="M615" i="11"/>
  <c r="M693" i="11"/>
  <c r="M6" i="11"/>
  <c r="M128" i="11"/>
  <c r="M278" i="11"/>
  <c r="M694" i="11"/>
  <c r="M252" i="11"/>
  <c r="M779" i="11"/>
  <c r="M269" i="11"/>
  <c r="M72" i="11"/>
  <c r="M292" i="11"/>
  <c r="M1053" i="11"/>
  <c r="M918" i="11"/>
  <c r="M1004" i="11"/>
  <c r="M332" i="11"/>
  <c r="M224" i="11"/>
  <c r="M69" i="11"/>
  <c r="M745" i="11"/>
  <c r="M188" i="11"/>
  <c r="BD66" i="3"/>
  <c r="M11" i="11"/>
  <c r="M88" i="11"/>
  <c r="M715" i="11"/>
  <c r="M342" i="11"/>
  <c r="M282" i="11"/>
  <c r="M2" i="11"/>
  <c r="M736" i="11"/>
  <c r="M45" i="11"/>
  <c r="M114" i="11"/>
  <c r="M889" i="11"/>
  <c r="M266" i="11"/>
  <c r="M9" i="11"/>
  <c r="M94" i="11"/>
  <c r="M946" i="11"/>
  <c r="M573" i="11"/>
  <c r="M829" i="11"/>
  <c r="M30" i="11"/>
  <c r="M243" i="11"/>
  <c r="M107" i="11"/>
  <c r="M1072" i="11"/>
  <c r="M849" i="11"/>
  <c r="M805" i="11"/>
  <c r="M281" i="11"/>
  <c r="M158" i="11"/>
  <c r="BD20" i="3"/>
  <c r="M1086" i="11"/>
  <c r="M460" i="11"/>
  <c r="M709" i="11"/>
  <c r="M899" i="11"/>
  <c r="M530" i="11"/>
  <c r="M175" i="11"/>
  <c r="M1099" i="11"/>
  <c r="M626" i="11"/>
  <c r="M602" i="11"/>
  <c r="M634" i="11"/>
  <c r="M698" i="11"/>
  <c r="M1146" i="11"/>
  <c r="M641" i="11"/>
  <c r="M753" i="11"/>
  <c r="M636" i="11"/>
  <c r="M1145" i="11"/>
  <c r="M29" i="11"/>
  <c r="M874" i="11"/>
  <c r="M924" i="11"/>
  <c r="M1024" i="11"/>
  <c r="M786" i="11"/>
  <c r="M922" i="11"/>
  <c r="M1071" i="11"/>
  <c r="M177" i="11"/>
  <c r="M1183" i="11"/>
  <c r="BD39" i="3"/>
  <c r="M174" i="11"/>
  <c r="M1185" i="11"/>
  <c r="M1194" i="11"/>
  <c r="M32" i="11"/>
  <c r="M524" i="11"/>
  <c r="M771" i="11"/>
  <c r="M519" i="11"/>
  <c r="M793" i="11"/>
  <c r="M333" i="11"/>
  <c r="M372" i="11"/>
  <c r="M652" i="11"/>
  <c r="M589" i="11"/>
  <c r="M1029" i="11"/>
  <c r="M542" i="11"/>
  <c r="M1164" i="11"/>
  <c r="M1059" i="11"/>
  <c r="M1175" i="11"/>
  <c r="M1023" i="11"/>
  <c r="M181" i="11"/>
  <c r="M193" i="11"/>
  <c r="M773" i="11"/>
  <c r="M835" i="11"/>
  <c r="M235" i="11"/>
  <c r="M708" i="11"/>
  <c r="M1189" i="11"/>
  <c r="M1153" i="11"/>
  <c r="AH62" i="3"/>
  <c r="M1130" i="11"/>
  <c r="M628" i="11"/>
  <c r="M353" i="11"/>
  <c r="M546" i="11"/>
  <c r="M1113" i="11"/>
  <c r="M659" i="11"/>
  <c r="M1147" i="11"/>
  <c r="M1042" i="11"/>
  <c r="M774" i="11"/>
  <c r="M465" i="11"/>
  <c r="AI62" i="3"/>
  <c r="AJ62" i="3" s="1"/>
  <c r="AK62" i="3" s="1"/>
  <c r="M951" i="11"/>
  <c r="M912" i="11"/>
  <c r="AZ23" i="3"/>
  <c r="M1050" i="11"/>
  <c r="M344" i="11"/>
  <c r="M948" i="11"/>
  <c r="M355" i="11"/>
  <c r="M1157" i="11"/>
  <c r="M1101" i="11"/>
  <c r="M416" i="11"/>
  <c r="BD72" i="3"/>
  <c r="M1114" i="11"/>
  <c r="M1066" i="11"/>
  <c r="M700" i="11"/>
  <c r="M1026" i="11"/>
  <c r="M1027" i="11"/>
  <c r="M857" i="11"/>
  <c r="M1076" i="11"/>
  <c r="M539" i="11"/>
  <c r="M860" i="11"/>
  <c r="M1132" i="11"/>
  <c r="AC62" i="3"/>
  <c r="M241" i="11"/>
  <c r="AN17" i="3"/>
  <c r="AO17" i="3" s="1"/>
  <c r="L27" i="2" s="1"/>
  <c r="AL17" i="3"/>
  <c r="M1095" i="11"/>
  <c r="M220" i="11"/>
  <c r="M538" i="11"/>
  <c r="M631" i="11"/>
  <c r="M955" i="11"/>
  <c r="M939" i="11"/>
  <c r="M374" i="11"/>
  <c r="M191" i="11"/>
  <c r="M755" i="11"/>
  <c r="M646" i="11"/>
  <c r="M1160" i="11"/>
  <c r="M1117" i="11"/>
  <c r="M1098" i="11"/>
  <c r="M446" i="11"/>
  <c r="M239" i="11"/>
  <c r="M229" i="11"/>
  <c r="M1171" i="11"/>
  <c r="M1177" i="11"/>
  <c r="M536" i="11"/>
  <c r="M648" i="11"/>
  <c r="M991" i="11"/>
  <c r="M780" i="11"/>
  <c r="M658" i="11"/>
  <c r="BD6" i="3"/>
  <c r="M621" i="11"/>
  <c r="M1014" i="11"/>
  <c r="M1069" i="11"/>
  <c r="M893" i="11"/>
  <c r="M692" i="11"/>
  <c r="M493" i="11"/>
  <c r="M291" i="11"/>
  <c r="M223" i="11"/>
  <c r="M486" i="11"/>
  <c r="M190" i="11"/>
  <c r="M1120" i="11"/>
  <c r="M797" i="11"/>
  <c r="M484" i="11"/>
  <c r="M92" i="11"/>
  <c r="M794" i="11"/>
  <c r="M591" i="11"/>
  <c r="M947" i="11"/>
  <c r="M285" i="11"/>
  <c r="M686" i="11"/>
  <c r="M334" i="11"/>
  <c r="M70" i="11"/>
  <c r="M215" i="11"/>
  <c r="M717" i="11"/>
  <c r="M732" i="11"/>
  <c r="M856" i="11"/>
  <c r="M467" i="11"/>
  <c r="M1037" i="11"/>
  <c r="M1085" i="11"/>
  <c r="M873" i="11"/>
  <c r="M863" i="11"/>
  <c r="M320" i="11"/>
  <c r="M865" i="11"/>
  <c r="M1105" i="11"/>
  <c r="M431" i="11"/>
  <c r="M731" i="11"/>
  <c r="M960" i="11"/>
  <c r="M916" i="11"/>
  <c r="M1186" i="11"/>
  <c r="M670" i="11"/>
  <c r="M352" i="11"/>
  <c r="M439" i="11"/>
  <c r="M836" i="11"/>
  <c r="M921" i="11"/>
  <c r="M532" i="11"/>
  <c r="M965" i="11"/>
  <c r="M1122" i="11"/>
  <c r="AZ84" i="3"/>
  <c r="M635" i="11"/>
  <c r="M987" i="11"/>
  <c r="M75" i="11"/>
  <c r="M1002" i="11"/>
  <c r="M402" i="11"/>
  <c r="M33" i="11"/>
  <c r="M323" i="11"/>
  <c r="M50" i="11"/>
  <c r="M205" i="11"/>
  <c r="M769" i="11"/>
  <c r="M166" i="11"/>
  <c r="M744" i="11"/>
  <c r="M54" i="11"/>
  <c r="M162" i="11"/>
  <c r="M111" i="11"/>
  <c r="M287" i="11"/>
  <c r="M697" i="11"/>
  <c r="M500" i="11"/>
  <c r="M293" i="11"/>
  <c r="M271" i="11"/>
  <c r="M60" i="11"/>
  <c r="M909" i="11"/>
  <c r="M126" i="11"/>
  <c r="M920" i="11"/>
  <c r="M1070" i="11"/>
  <c r="M587" i="11"/>
  <c r="M1174" i="11"/>
  <c r="M189" i="11"/>
  <c r="M956" i="11"/>
  <c r="M968" i="11"/>
  <c r="M837" i="11"/>
  <c r="M437" i="11"/>
  <c r="BD22" i="3"/>
  <c r="BD89" i="3"/>
  <c r="M900" i="11"/>
  <c r="M934" i="11"/>
  <c r="M961" i="11"/>
  <c r="AZ59" i="3"/>
  <c r="AU59" i="3"/>
  <c r="AW59" i="3"/>
  <c r="BD59" i="3"/>
  <c r="M657" i="11"/>
  <c r="M967" i="11"/>
  <c r="M238" i="11"/>
  <c r="M957" i="11"/>
  <c r="M36" i="11"/>
  <c r="M707" i="11"/>
  <c r="M1040" i="11"/>
  <c r="M1104" i="11"/>
  <c r="M630" i="11"/>
  <c r="M367" i="11"/>
  <c r="AZ73" i="3"/>
  <c r="M580" i="11"/>
  <c r="M98" i="11"/>
  <c r="M442" i="11"/>
  <c r="AW34" i="3"/>
  <c r="AU34" i="3"/>
  <c r="AZ34" i="3"/>
  <c r="BD34" i="3"/>
  <c r="M750" i="11"/>
  <c r="M221" i="11"/>
  <c r="M322" i="11"/>
  <c r="M620" i="11"/>
  <c r="M761" i="11"/>
  <c r="M766" i="11"/>
  <c r="M79" i="11"/>
  <c r="M169" i="11"/>
  <c r="M295" i="11"/>
  <c r="M48" i="11"/>
  <c r="M380" i="11"/>
  <c r="M78" i="11"/>
  <c r="M131" i="11"/>
  <c r="M200" i="11"/>
  <c r="M561" i="11"/>
  <c r="M713" i="11"/>
  <c r="M250" i="11"/>
  <c r="M387" i="11"/>
  <c r="M10" i="11"/>
  <c r="M231" i="11"/>
  <c r="M896" i="11"/>
  <c r="M996" i="11"/>
  <c r="M1159" i="11"/>
  <c r="M233" i="11"/>
  <c r="M993" i="11"/>
  <c r="M585" i="11"/>
  <c r="M1084" i="11"/>
  <c r="M549" i="11"/>
  <c r="M581" i="11"/>
  <c r="M1112" i="11"/>
  <c r="M1173" i="11"/>
  <c r="M1154" i="11"/>
  <c r="M704" i="11"/>
  <c r="M1030" i="11"/>
  <c r="M1187" i="11"/>
  <c r="M1169" i="11"/>
  <c r="M977" i="11"/>
  <c r="M853" i="11"/>
  <c r="M847" i="11"/>
  <c r="M415" i="11"/>
  <c r="M1201" i="11"/>
  <c r="M1133" i="11"/>
  <c r="M959" i="11"/>
  <c r="M953" i="11"/>
  <c r="M1097" i="11"/>
  <c r="M1094" i="11"/>
  <c r="M457" i="11"/>
  <c r="M528" i="11"/>
  <c r="M445" i="11"/>
  <c r="M656" i="11"/>
  <c r="M28" i="11"/>
  <c r="M772" i="11"/>
  <c r="M234" i="11"/>
  <c r="M464" i="11"/>
  <c r="M529" i="11"/>
  <c r="M660" i="11"/>
  <c r="M436" i="11"/>
  <c r="M571" i="11"/>
  <c r="M370" i="11"/>
  <c r="M650" i="11"/>
  <c r="M654" i="11"/>
  <c r="AU51" i="3"/>
  <c r="AW51" i="3"/>
  <c r="AW27" i="3"/>
  <c r="AU27" i="3"/>
  <c r="AW16" i="3"/>
  <c r="AU16" i="3"/>
  <c r="BN47" i="3"/>
  <c r="V47" i="3" s="1"/>
  <c r="Y47" i="3" s="1"/>
  <c r="Z47" i="3" s="1"/>
  <c r="BM47" i="3"/>
  <c r="I47" i="3" s="1"/>
  <c r="BQ47" i="3"/>
  <c r="T47" i="3" s="1"/>
  <c r="BP47" i="3"/>
  <c r="X47" i="3" s="1"/>
  <c r="BO47" i="3"/>
  <c r="W47" i="3" s="1"/>
  <c r="BL47" i="3"/>
  <c r="AW98" i="3"/>
  <c r="AU98" i="3"/>
  <c r="BQ61" i="3"/>
  <c r="T61" i="3" s="1"/>
  <c r="BP61" i="3"/>
  <c r="X61" i="3" s="1"/>
  <c r="BL61" i="3"/>
  <c r="BO61" i="3"/>
  <c r="W61" i="3" s="1"/>
  <c r="BN61" i="3"/>
  <c r="V61" i="3" s="1"/>
  <c r="Y61" i="3" s="1"/>
  <c r="BM61" i="3"/>
  <c r="I61" i="3" s="1"/>
  <c r="AY89" i="3"/>
  <c r="AU57" i="3"/>
  <c r="AW57" i="3"/>
  <c r="BQ99" i="3"/>
  <c r="T99" i="3" s="1"/>
  <c r="BM99" i="3"/>
  <c r="I99" i="3" s="1"/>
  <c r="BN99" i="3"/>
  <c r="V99" i="3" s="1"/>
  <c r="Y99" i="3" s="1"/>
  <c r="Z99" i="3" s="1"/>
  <c r="BO99" i="3"/>
  <c r="W99" i="3" s="1"/>
  <c r="BL99" i="3"/>
  <c r="BP99" i="3"/>
  <c r="X99" i="3" s="1"/>
  <c r="BP24" i="3"/>
  <c r="X24" i="3" s="1"/>
  <c r="BN24" i="3"/>
  <c r="V24" i="3" s="1"/>
  <c r="Y24" i="3" s="1"/>
  <c r="BM24" i="3"/>
  <c r="I24" i="3" s="1"/>
  <c r="BL24" i="3"/>
  <c r="BO24" i="3"/>
  <c r="W24" i="3" s="1"/>
  <c r="BQ24" i="3"/>
  <c r="T24" i="3" s="1"/>
  <c r="BN75" i="3"/>
  <c r="V75" i="3" s="1"/>
  <c r="Y75" i="3" s="1"/>
  <c r="BO75" i="3"/>
  <c r="W75" i="3" s="1"/>
  <c r="BP75" i="3"/>
  <c r="X75" i="3" s="1"/>
  <c r="BM75" i="3"/>
  <c r="I75" i="3" s="1"/>
  <c r="BL75" i="3"/>
  <c r="BQ75" i="3"/>
  <c r="T75" i="3" s="1"/>
  <c r="I29" i="2"/>
  <c r="BQ23" i="3"/>
  <c r="T23" i="3" s="1"/>
  <c r="BO23" i="3"/>
  <c r="W23" i="3" s="1"/>
  <c r="BP23" i="3"/>
  <c r="X23" i="3" s="1"/>
  <c r="BM23" i="3"/>
  <c r="I23" i="3" s="1"/>
  <c r="BL23" i="3"/>
  <c r="BN23" i="3"/>
  <c r="V23" i="3" s="1"/>
  <c r="Y23" i="3" s="1"/>
  <c r="AY23" i="3" s="1"/>
  <c r="BN25" i="3"/>
  <c r="V25" i="3" s="1"/>
  <c r="Y25" i="3" s="1"/>
  <c r="BP25" i="3"/>
  <c r="X25" i="3" s="1"/>
  <c r="BO25" i="3"/>
  <c r="W25" i="3" s="1"/>
  <c r="BQ25" i="3"/>
  <c r="T25" i="3" s="1"/>
  <c r="BM25" i="3"/>
  <c r="I25" i="3" s="1"/>
  <c r="BL25" i="3"/>
  <c r="AZ8" i="3"/>
  <c r="AW68" i="3"/>
  <c r="AU68" i="3"/>
  <c r="BL36" i="3"/>
  <c r="BN36" i="3"/>
  <c r="V36" i="3" s="1"/>
  <c r="Y36" i="3" s="1"/>
  <c r="Z36" i="3" s="1"/>
  <c r="BQ36" i="3"/>
  <c r="T36" i="3" s="1"/>
  <c r="BP36" i="3"/>
  <c r="X36" i="3" s="1"/>
  <c r="BO36" i="3"/>
  <c r="W36" i="3" s="1"/>
  <c r="BM36" i="3"/>
  <c r="I36" i="3" s="1"/>
  <c r="AU69" i="3"/>
  <c r="AW69" i="3"/>
  <c r="BQ68" i="3"/>
  <c r="T68" i="3" s="1"/>
  <c r="BP68" i="3"/>
  <c r="X68" i="3" s="1"/>
  <c r="BO68" i="3"/>
  <c r="W68" i="3" s="1"/>
  <c r="BM68" i="3"/>
  <c r="I68" i="3" s="1"/>
  <c r="BN68" i="3"/>
  <c r="V68" i="3" s="1"/>
  <c r="Y68" i="3" s="1"/>
  <c r="Z68" i="3" s="1"/>
  <c r="BL68" i="3"/>
  <c r="AH18" i="3"/>
  <c r="AD18" i="3"/>
  <c r="AE18" i="3" s="1"/>
  <c r="AY42" i="3"/>
  <c r="Z42" i="3"/>
  <c r="AW48" i="3"/>
  <c r="AU48" i="3"/>
  <c r="AU32" i="3"/>
  <c r="AW32" i="3"/>
  <c r="AU35" i="3"/>
  <c r="AW35" i="3"/>
  <c r="AU22" i="3"/>
  <c r="AW22" i="3"/>
  <c r="AI81" i="3"/>
  <c r="AJ81" i="3" s="1"/>
  <c r="AK81" i="3" s="1"/>
  <c r="AD81" i="3"/>
  <c r="AE81" i="3" s="1"/>
  <c r="AF81" i="3" s="1"/>
  <c r="AC81" i="3"/>
  <c r="AH81" i="3"/>
  <c r="AN62" i="3"/>
  <c r="AO62" i="3" s="1"/>
  <c r="AL62" i="3"/>
  <c r="AU46" i="3"/>
  <c r="AW46" i="3"/>
  <c r="AZ69" i="3"/>
  <c r="BO45" i="3"/>
  <c r="W45" i="3" s="1"/>
  <c r="BN45" i="3"/>
  <c r="V45" i="3" s="1"/>
  <c r="Y45" i="3" s="1"/>
  <c r="BM45" i="3"/>
  <c r="I45" i="3" s="1"/>
  <c r="BL45" i="3"/>
  <c r="BQ45" i="3"/>
  <c r="T45" i="3" s="1"/>
  <c r="BP45" i="3"/>
  <c r="X45" i="3" s="1"/>
  <c r="BL50" i="3"/>
  <c r="BP50" i="3"/>
  <c r="X50" i="3" s="1"/>
  <c r="BO50" i="3"/>
  <c r="W50" i="3" s="1"/>
  <c r="BN50" i="3"/>
  <c r="V50" i="3" s="1"/>
  <c r="Y50" i="3" s="1"/>
  <c r="Z50" i="3" s="1"/>
  <c r="BQ50" i="3"/>
  <c r="T50" i="3" s="1"/>
  <c r="BM50" i="3"/>
  <c r="I50" i="3" s="1"/>
  <c r="AN40" i="3"/>
  <c r="AO40" i="3" s="1"/>
  <c r="AL40" i="3"/>
  <c r="BL51" i="3"/>
  <c r="BQ51" i="3"/>
  <c r="T51" i="3" s="1"/>
  <c r="BN51" i="3"/>
  <c r="V51" i="3" s="1"/>
  <c r="Y51" i="3" s="1"/>
  <c r="Z51" i="3" s="1"/>
  <c r="BP51" i="3"/>
  <c r="X51" i="3" s="1"/>
  <c r="BM51" i="3"/>
  <c r="I51" i="3" s="1"/>
  <c r="BO51" i="3"/>
  <c r="W51" i="3" s="1"/>
  <c r="BD32" i="3"/>
  <c r="AZ20" i="3"/>
  <c r="AW84" i="3"/>
  <c r="AU84" i="3"/>
  <c r="AY69" i="3"/>
  <c r="AW94" i="3"/>
  <c r="AU94" i="3"/>
  <c r="AZ48" i="3"/>
  <c r="AZ5" i="3"/>
  <c r="BO77" i="3"/>
  <c r="W77" i="3" s="1"/>
  <c r="BN77" i="3"/>
  <c r="V77" i="3" s="1"/>
  <c r="Y77" i="3" s="1"/>
  <c r="Z77" i="3" s="1"/>
  <c r="BM77" i="3"/>
  <c r="I77" i="3" s="1"/>
  <c r="BQ77" i="3"/>
  <c r="T77" i="3" s="1"/>
  <c r="BP77" i="3"/>
  <c r="X77" i="3" s="1"/>
  <c r="BL77" i="3"/>
  <c r="AW41" i="3"/>
  <c r="AU41" i="3"/>
  <c r="AU99" i="3"/>
  <c r="AW99" i="3"/>
  <c r="AW39" i="3"/>
  <c r="AU39" i="3"/>
  <c r="BD69" i="3"/>
  <c r="AI96" i="3"/>
  <c r="AJ96" i="3" s="1"/>
  <c r="AK96" i="3" s="1"/>
  <c r="AH96" i="3"/>
  <c r="AC96" i="3"/>
  <c r="AD96" i="3"/>
  <c r="AE96" i="3" s="1"/>
  <c r="AF96" i="3" s="1"/>
  <c r="AN42" i="3"/>
  <c r="AO42" i="3" s="1"/>
  <c r="AL42" i="3"/>
  <c r="BD48" i="3"/>
  <c r="AW50" i="3"/>
  <c r="AU50" i="3"/>
  <c r="AW63" i="3"/>
  <c r="AU63" i="3"/>
  <c r="AW20" i="3"/>
  <c r="AU20" i="3"/>
  <c r="AW5" i="3"/>
  <c r="AU5" i="3"/>
  <c r="AN64" i="3"/>
  <c r="AO64" i="3" s="1"/>
  <c r="AL64" i="3"/>
  <c r="BP82" i="3"/>
  <c r="X82" i="3" s="1"/>
  <c r="BO82" i="3"/>
  <c r="W82" i="3" s="1"/>
  <c r="BN82" i="3"/>
  <c r="V82" i="3" s="1"/>
  <c r="Y82" i="3" s="1"/>
  <c r="Z82" i="3" s="1"/>
  <c r="BQ82" i="3"/>
  <c r="T82" i="3" s="1"/>
  <c r="BL82" i="3"/>
  <c r="BM82" i="3"/>
  <c r="I82" i="3" s="1"/>
  <c r="BO66" i="3"/>
  <c r="W66" i="3" s="1"/>
  <c r="BN66" i="3"/>
  <c r="V66" i="3" s="1"/>
  <c r="Y66" i="3" s="1"/>
  <c r="Z66" i="3" s="1"/>
  <c r="BQ66" i="3"/>
  <c r="T66" i="3" s="1"/>
  <c r="BP66" i="3"/>
  <c r="X66" i="3" s="1"/>
  <c r="BM66" i="3"/>
  <c r="I66" i="3" s="1"/>
  <c r="BL66" i="3"/>
  <c r="AN48" i="3"/>
  <c r="AO48" i="3" s="1"/>
  <c r="AL48" i="3"/>
  <c r="BP43" i="3"/>
  <c r="X43" i="3" s="1"/>
  <c r="BO43" i="3"/>
  <c r="W43" i="3" s="1"/>
  <c r="BN43" i="3"/>
  <c r="V43" i="3" s="1"/>
  <c r="Y43" i="3" s="1"/>
  <c r="BQ43" i="3"/>
  <c r="T43" i="3" s="1"/>
  <c r="BM43" i="3"/>
  <c r="I43" i="3" s="1"/>
  <c r="BL43" i="3"/>
  <c r="Z81" i="3"/>
  <c r="AY81" i="3"/>
  <c r="BQ80" i="3"/>
  <c r="T80" i="3" s="1"/>
  <c r="BN80" i="3"/>
  <c r="V80" i="3" s="1"/>
  <c r="Y80" i="3" s="1"/>
  <c r="BM80" i="3"/>
  <c r="I80" i="3" s="1"/>
  <c r="BP80" i="3"/>
  <c r="X80" i="3" s="1"/>
  <c r="BL80" i="3"/>
  <c r="BO80" i="3"/>
  <c r="W80" i="3" s="1"/>
  <c r="AI48" i="3"/>
  <c r="AJ48" i="3" s="1"/>
  <c r="AK48" i="3" s="1"/>
  <c r="AH48" i="3"/>
  <c r="AD48" i="3"/>
  <c r="AE48" i="3" s="1"/>
  <c r="AF48" i="3" s="1"/>
  <c r="AC48" i="3"/>
  <c r="AW95" i="3"/>
  <c r="AU95" i="3"/>
  <c r="BQ86" i="3"/>
  <c r="T86" i="3" s="1"/>
  <c r="BL86" i="3"/>
  <c r="BP86" i="3"/>
  <c r="X86" i="3" s="1"/>
  <c r="BM86" i="3"/>
  <c r="I86" i="3" s="1"/>
  <c r="BO86" i="3"/>
  <c r="W86" i="3" s="1"/>
  <c r="BN86" i="3"/>
  <c r="V86" i="3" s="1"/>
  <c r="Y86" i="3" s="1"/>
  <c r="BQ70" i="3"/>
  <c r="T70" i="3" s="1"/>
  <c r="BP70" i="3"/>
  <c r="X70" i="3" s="1"/>
  <c r="BN70" i="3"/>
  <c r="V70" i="3" s="1"/>
  <c r="Y70" i="3" s="1"/>
  <c r="BM70" i="3"/>
  <c r="I70" i="3" s="1"/>
  <c r="BO70" i="3"/>
  <c r="W70" i="3" s="1"/>
  <c r="BL70" i="3"/>
  <c r="AW100" i="3"/>
  <c r="AU100" i="3"/>
  <c r="AU23" i="3"/>
  <c r="AW23" i="3"/>
  <c r="AU40" i="3"/>
  <c r="AW40" i="3"/>
  <c r="BP53" i="3"/>
  <c r="X53" i="3" s="1"/>
  <c r="BN53" i="3"/>
  <c r="V53" i="3" s="1"/>
  <c r="Y53" i="3" s="1"/>
  <c r="BQ53" i="3"/>
  <c r="T53" i="3" s="1"/>
  <c r="BM53" i="3"/>
  <c r="I53" i="3" s="1"/>
  <c r="BL53" i="3"/>
  <c r="BO53" i="3"/>
  <c r="W53" i="3" s="1"/>
  <c r="BQ98" i="3"/>
  <c r="T98" i="3" s="1"/>
  <c r="BP98" i="3"/>
  <c r="X98" i="3" s="1"/>
  <c r="BO98" i="3"/>
  <c r="W98" i="3" s="1"/>
  <c r="BN98" i="3"/>
  <c r="V98" i="3" s="1"/>
  <c r="Y98" i="3" s="1"/>
  <c r="Z98" i="3" s="1"/>
  <c r="BM98" i="3"/>
  <c r="I98" i="3" s="1"/>
  <c r="BL98" i="3"/>
  <c r="BD41" i="3"/>
  <c r="AZ95" i="3"/>
  <c r="BN72" i="3"/>
  <c r="V72" i="3" s="1"/>
  <c r="Y72" i="3" s="1"/>
  <c r="Z72" i="3" s="1"/>
  <c r="BM72" i="3"/>
  <c r="I72" i="3" s="1"/>
  <c r="BL72" i="3"/>
  <c r="BP72" i="3"/>
  <c r="X72" i="3" s="1"/>
  <c r="BQ72" i="3"/>
  <c r="T72" i="3" s="1"/>
  <c r="BO72" i="3"/>
  <c r="W72" i="3" s="1"/>
  <c r="AZ77" i="3"/>
  <c r="AN81" i="3"/>
  <c r="AO81" i="3" s="1"/>
  <c r="AL81" i="3"/>
  <c r="BN88" i="3"/>
  <c r="V88" i="3" s="1"/>
  <c r="Y88" i="3" s="1"/>
  <c r="BM88" i="3"/>
  <c r="I88" i="3" s="1"/>
  <c r="BL88" i="3"/>
  <c r="BP88" i="3"/>
  <c r="X88" i="3" s="1"/>
  <c r="BQ88" i="3"/>
  <c r="T88" i="3" s="1"/>
  <c r="BO88" i="3"/>
  <c r="W88" i="3" s="1"/>
  <c r="AZ100" i="3"/>
  <c r="BM26" i="3"/>
  <c r="I26" i="3" s="1"/>
  <c r="BL26" i="3"/>
  <c r="BO26" i="3"/>
  <c r="W26" i="3" s="1"/>
  <c r="BP26" i="3"/>
  <c r="X26" i="3" s="1"/>
  <c r="BN26" i="3"/>
  <c r="V26" i="3" s="1"/>
  <c r="Y26" i="3" s="1"/>
  <c r="BQ26" i="3"/>
  <c r="T26" i="3" s="1"/>
  <c r="AD30" i="3"/>
  <c r="AE30" i="3" s="1"/>
  <c r="AF30" i="3" s="1"/>
  <c r="AC30" i="3"/>
  <c r="AI30" i="3"/>
  <c r="AJ30" i="3" s="1"/>
  <c r="AK30" i="3" s="1"/>
  <c r="AH30" i="3"/>
  <c r="BD23" i="3"/>
  <c r="BQ56" i="3"/>
  <c r="T56" i="3" s="1"/>
  <c r="BP56" i="3"/>
  <c r="X56" i="3" s="1"/>
  <c r="BO56" i="3"/>
  <c r="W56" i="3" s="1"/>
  <c r="BM56" i="3"/>
  <c r="I56" i="3" s="1"/>
  <c r="BL56" i="3"/>
  <c r="BN56" i="3"/>
  <c r="V56" i="3" s="1"/>
  <c r="Y56" i="3" s="1"/>
  <c r="AI64" i="3"/>
  <c r="AJ64" i="3" s="1"/>
  <c r="AK64" i="3" s="1"/>
  <c r="AH64" i="3"/>
  <c r="AD64" i="3"/>
  <c r="AE64" i="3" s="1"/>
  <c r="AF64" i="3" s="1"/>
  <c r="AC64" i="3"/>
  <c r="BD95" i="3"/>
  <c r="AU72" i="3"/>
  <c r="AW72" i="3"/>
  <c r="BD100" i="3"/>
  <c r="AW77" i="3"/>
  <c r="AU77" i="3"/>
  <c r="AZ66" i="3"/>
  <c r="BP74" i="3"/>
  <c r="X74" i="3" s="1"/>
  <c r="BO74" i="3"/>
  <c r="W74" i="3" s="1"/>
  <c r="BQ74" i="3"/>
  <c r="T74" i="3" s="1"/>
  <c r="BN74" i="3"/>
  <c r="V74" i="3" s="1"/>
  <c r="Y74" i="3" s="1"/>
  <c r="BL74" i="3"/>
  <c r="BM74" i="3"/>
  <c r="I74" i="3" s="1"/>
  <c r="AN69" i="3"/>
  <c r="AO69" i="3" s="1"/>
  <c r="AL69" i="3"/>
  <c r="AU73" i="3"/>
  <c r="AW73" i="3"/>
  <c r="AN30" i="3"/>
  <c r="AO30" i="3" s="1"/>
  <c r="AL30" i="3"/>
  <c r="AI69" i="3"/>
  <c r="AJ69" i="3" s="1"/>
  <c r="AK69" i="3" s="1"/>
  <c r="AH69" i="3"/>
  <c r="AC69" i="3"/>
  <c r="AD69" i="3"/>
  <c r="AE69" i="3" s="1"/>
  <c r="AF69" i="3" s="1"/>
  <c r="BM93" i="3"/>
  <c r="I93" i="3" s="1"/>
  <c r="BP93" i="3"/>
  <c r="X93" i="3" s="1"/>
  <c r="BL93" i="3"/>
  <c r="BQ93" i="3"/>
  <c r="T93" i="3" s="1"/>
  <c r="BO93" i="3"/>
  <c r="W93" i="3" s="1"/>
  <c r="BN93" i="3"/>
  <c r="V93" i="3" s="1"/>
  <c r="Y93" i="3" s="1"/>
  <c r="BD31" i="3"/>
  <c r="AH42" i="3"/>
  <c r="AC42" i="3"/>
  <c r="AD42" i="3"/>
  <c r="AE42" i="3" s="1"/>
  <c r="AF42" i="3" s="1"/>
  <c r="AI42" i="3"/>
  <c r="AJ42" i="3" s="1"/>
  <c r="AK42" i="3" s="1"/>
  <c r="AW66" i="3"/>
  <c r="AU66" i="3"/>
  <c r="BQ83" i="3"/>
  <c r="T83" i="3" s="1"/>
  <c r="BN83" i="3"/>
  <c r="V83" i="3" s="1"/>
  <c r="Y83" i="3" s="1"/>
  <c r="BM83" i="3"/>
  <c r="I83" i="3" s="1"/>
  <c r="BL83" i="3"/>
  <c r="BO83" i="3"/>
  <c r="W83" i="3" s="1"/>
  <c r="BP83" i="3"/>
  <c r="X83" i="3" s="1"/>
  <c r="AU19" i="3"/>
  <c r="AW19" i="3"/>
  <c r="BL34" i="3"/>
  <c r="BQ34" i="3"/>
  <c r="T34" i="3" s="1"/>
  <c r="BM34" i="3"/>
  <c r="I34" i="3" s="1"/>
  <c r="BP34" i="3"/>
  <c r="X34" i="3" s="1"/>
  <c r="BO34" i="3"/>
  <c r="W34" i="3" s="1"/>
  <c r="BN34" i="3"/>
  <c r="V34" i="3" s="1"/>
  <c r="Y34" i="3" s="1"/>
  <c r="AZ47" i="3"/>
  <c r="AZ79" i="3"/>
  <c r="AZ51" i="3"/>
  <c r="BD79" i="3"/>
  <c r="BL32" i="3"/>
  <c r="BP32" i="3"/>
  <c r="X32" i="3" s="1"/>
  <c r="BO32" i="3"/>
  <c r="W32" i="3" s="1"/>
  <c r="BN32" i="3"/>
  <c r="V32" i="3" s="1"/>
  <c r="Y32" i="3" s="1"/>
  <c r="Z32" i="3" s="1"/>
  <c r="BQ32" i="3"/>
  <c r="T32" i="3" s="1"/>
  <c r="BM32" i="3"/>
  <c r="I32" i="3" s="1"/>
  <c r="AZ27" i="3"/>
  <c r="BQ95" i="3"/>
  <c r="T95" i="3" s="1"/>
  <c r="BL95" i="3"/>
  <c r="BN95" i="3"/>
  <c r="V95" i="3" s="1"/>
  <c r="Y95" i="3" s="1"/>
  <c r="Z95" i="3" s="1"/>
  <c r="BP95" i="3"/>
  <c r="X95" i="3" s="1"/>
  <c r="BO95" i="3"/>
  <c r="W95" i="3" s="1"/>
  <c r="BM95" i="3"/>
  <c r="I95" i="3" s="1"/>
  <c r="BP41" i="3"/>
  <c r="X41" i="3" s="1"/>
  <c r="BM41" i="3"/>
  <c r="I41" i="3" s="1"/>
  <c r="BN41" i="3"/>
  <c r="V41" i="3" s="1"/>
  <c r="Y41" i="3" s="1"/>
  <c r="Z41" i="3" s="1"/>
  <c r="BQ41" i="3"/>
  <c r="T41" i="3" s="1"/>
  <c r="BO41" i="3"/>
  <c r="W41" i="3" s="1"/>
  <c r="BL41" i="3"/>
  <c r="AZ31" i="3"/>
  <c r="BD73" i="3"/>
  <c r="BM67" i="3"/>
  <c r="I67" i="3" s="1"/>
  <c r="BL67" i="3"/>
  <c r="BO67" i="3"/>
  <c r="W67" i="3" s="1"/>
  <c r="BQ67" i="3"/>
  <c r="T67" i="3" s="1"/>
  <c r="BP67" i="3"/>
  <c r="X67" i="3" s="1"/>
  <c r="BN67" i="3"/>
  <c r="V67" i="3" s="1"/>
  <c r="Y67" i="3" s="1"/>
  <c r="Z30" i="3"/>
  <c r="AY30" i="3"/>
  <c r="AW82" i="3"/>
  <c r="AU82" i="3"/>
  <c r="BD82" i="3"/>
  <c r="BD47" i="3"/>
  <c r="AW47" i="3"/>
  <c r="AU47" i="3"/>
  <c r="AU79" i="3"/>
  <c r="AW79" i="3"/>
  <c r="BD36" i="3"/>
  <c r="BD27" i="3"/>
  <c r="AZ98" i="3"/>
  <c r="AZ57" i="3"/>
  <c r="BM20" i="3"/>
  <c r="I20" i="3" s="1"/>
  <c r="BL20" i="3"/>
  <c r="BO20" i="3"/>
  <c r="W20" i="3" s="1"/>
  <c r="BN20" i="3"/>
  <c r="V20" i="3" s="1"/>
  <c r="Y20" i="3" s="1"/>
  <c r="AY20" i="3" s="1"/>
  <c r="BQ20" i="3"/>
  <c r="T20" i="3" s="1"/>
  <c r="BP20" i="3"/>
  <c r="X20" i="3" s="1"/>
  <c r="AW31" i="3"/>
  <c r="AU31" i="3"/>
  <c r="BP59" i="3"/>
  <c r="X59" i="3" s="1"/>
  <c r="BO59" i="3"/>
  <c r="W59" i="3" s="1"/>
  <c r="BM59" i="3"/>
  <c r="I59" i="3" s="1"/>
  <c r="BL59" i="3"/>
  <c r="BN59" i="3"/>
  <c r="V59" i="3" s="1"/>
  <c r="Y59" i="3" s="1"/>
  <c r="BQ59" i="3"/>
  <c r="T59" i="3" s="1"/>
  <c r="BN84" i="3"/>
  <c r="V84" i="3" s="1"/>
  <c r="Y84" i="3" s="1"/>
  <c r="Z84" i="3" s="1"/>
  <c r="BL84" i="3"/>
  <c r="BQ84" i="3"/>
  <c r="T84" i="3" s="1"/>
  <c r="BP84" i="3"/>
  <c r="X84" i="3" s="1"/>
  <c r="BM84" i="3"/>
  <c r="I84" i="3" s="1"/>
  <c r="BO84" i="3"/>
  <c r="W84" i="3" s="1"/>
  <c r="AH17" i="3"/>
  <c r="AD17" i="3"/>
  <c r="AE17" i="3" s="1"/>
  <c r="AI17" i="3"/>
  <c r="AJ17" i="3" s="1"/>
  <c r="AC17" i="3"/>
  <c r="BD19" i="3"/>
  <c r="AU6" i="3"/>
  <c r="AW6" i="3"/>
  <c r="BD51" i="3"/>
  <c r="AN89" i="3"/>
  <c r="AO89" i="3" s="1"/>
  <c r="AL89" i="3"/>
  <c r="AW36" i="3"/>
  <c r="AU36" i="3"/>
  <c r="AU15" i="3"/>
  <c r="AW15" i="3"/>
  <c r="AW8" i="3"/>
  <c r="AU8" i="3"/>
  <c r="BM22" i="3"/>
  <c r="I22" i="3" s="1"/>
  <c r="BN22" i="3"/>
  <c r="V22" i="3" s="1"/>
  <c r="Y22" i="3" s="1"/>
  <c r="AY22" i="3" s="1"/>
  <c r="BO22" i="3"/>
  <c r="W22" i="3" s="1"/>
  <c r="BQ22" i="3"/>
  <c r="T22" i="3" s="1"/>
  <c r="BP22" i="3"/>
  <c r="X22" i="3" s="1"/>
  <c r="BL22" i="3"/>
  <c r="BD68" i="3"/>
  <c r="BD98" i="3"/>
  <c r="AU89" i="3"/>
  <c r="AW89" i="3"/>
  <c r="BD57" i="3"/>
  <c r="BQ21" i="3"/>
  <c r="T21" i="3" s="1"/>
  <c r="BM21" i="3"/>
  <c r="I21" i="3" s="1"/>
  <c r="BL21" i="3"/>
  <c r="BN21" i="3"/>
  <c r="V21" i="3" s="1"/>
  <c r="Y21" i="3" s="1"/>
  <c r="BP21" i="3"/>
  <c r="X21" i="3" s="1"/>
  <c r="BO21" i="3"/>
  <c r="W21" i="3" s="1"/>
  <c r="BL85" i="3"/>
  <c r="BQ85" i="3"/>
  <c r="T85" i="3" s="1"/>
  <c r="BP85" i="3"/>
  <c r="X85" i="3" s="1"/>
  <c r="BO85" i="3"/>
  <c r="W85" i="3" s="1"/>
  <c r="BN85" i="3"/>
  <c r="V85" i="3" s="1"/>
  <c r="Y85" i="3" s="1"/>
  <c r="BM85" i="3"/>
  <c r="I85" i="3" s="1"/>
  <c r="AY19" i="3" l="1"/>
  <c r="AC19" i="3"/>
  <c r="AN65" i="3"/>
  <c r="AO65" i="3" s="1"/>
  <c r="AL65" i="3"/>
  <c r="Z65" i="3"/>
  <c r="AY65" i="3"/>
  <c r="AN19" i="3"/>
  <c r="AO19" i="3" s="1"/>
  <c r="L29" i="2" s="1"/>
  <c r="AL19" i="3"/>
  <c r="AL18" i="3"/>
  <c r="AC18" i="3"/>
  <c r="AD100" i="3"/>
  <c r="AE100" i="3" s="1"/>
  <c r="AF100" i="3" s="1"/>
  <c r="AI31" i="3"/>
  <c r="AJ31" i="3" s="1"/>
  <c r="AK31" i="3" s="1"/>
  <c r="AH52" i="3"/>
  <c r="Z52" i="3"/>
  <c r="AH31" i="3"/>
  <c r="AC31" i="3"/>
  <c r="AL52" i="3"/>
  <c r="AH58" i="3"/>
  <c r="AD31" i="3"/>
  <c r="AE31" i="3" s="1"/>
  <c r="AF31" i="3" s="1"/>
  <c r="AI58" i="3"/>
  <c r="AJ58" i="3" s="1"/>
  <c r="AK58" i="3" s="1"/>
  <c r="AN58" i="3"/>
  <c r="AO58" i="3" s="1"/>
  <c r="AL58" i="3"/>
  <c r="AL100" i="3"/>
  <c r="AN31" i="3"/>
  <c r="AO31" i="3" s="1"/>
  <c r="AL31" i="3"/>
  <c r="AI52" i="3"/>
  <c r="AJ52" i="3" s="1"/>
  <c r="AK52" i="3" s="1"/>
  <c r="AD52" i="3"/>
  <c r="AE52" i="3" s="1"/>
  <c r="AF52" i="3" s="1"/>
  <c r="AY100" i="3"/>
  <c r="AC100" i="3"/>
  <c r="AH100" i="3"/>
  <c r="AI100" i="3"/>
  <c r="AJ100" i="3" s="1"/>
  <c r="AK100" i="3" s="1"/>
  <c r="AD58" i="3"/>
  <c r="AE58" i="3" s="1"/>
  <c r="AF58" i="3" s="1"/>
  <c r="AO100" i="3"/>
  <c r="AY32" i="3"/>
  <c r="K29" i="2"/>
  <c r="G9" i="3"/>
  <c r="F19" i="2" s="1"/>
  <c r="G13" i="3"/>
  <c r="BK13" i="3" s="1"/>
  <c r="J29" i="2"/>
  <c r="AY50" i="3"/>
  <c r="AY36" i="3"/>
  <c r="G11" i="3"/>
  <c r="F21" i="2" s="1"/>
  <c r="G10" i="3"/>
  <c r="BK10" i="3" s="1"/>
  <c r="G14" i="3"/>
  <c r="F24" i="2" s="1"/>
  <c r="G5" i="3"/>
  <c r="AM5" i="3" s="1"/>
  <c r="G15" i="3"/>
  <c r="AM15" i="3" s="1"/>
  <c r="G12" i="3"/>
  <c r="AM12" i="3" s="1"/>
  <c r="G4" i="3"/>
  <c r="BK4" i="3" s="1"/>
  <c r="G7" i="3"/>
  <c r="F17" i="2" s="1"/>
  <c r="G6" i="3"/>
  <c r="BK6" i="3" s="1"/>
  <c r="G8" i="3"/>
  <c r="F18" i="2" s="1"/>
  <c r="AY82" i="3"/>
  <c r="AY84" i="3"/>
  <c r="G16" i="3"/>
  <c r="BK16" i="3" s="1"/>
  <c r="AD83" i="3"/>
  <c r="AE83" i="3" s="1"/>
  <c r="AF83" i="3" s="1"/>
  <c r="AC83" i="3"/>
  <c r="AH83" i="3"/>
  <c r="AI83" i="3"/>
  <c r="AJ83" i="3" s="1"/>
  <c r="AK83" i="3" s="1"/>
  <c r="Z83" i="3"/>
  <c r="AY83" i="3"/>
  <c r="AI77" i="3"/>
  <c r="AJ77" i="3" s="1"/>
  <c r="AK77" i="3" s="1"/>
  <c r="AH77" i="3"/>
  <c r="AC77" i="3"/>
  <c r="AD77" i="3"/>
  <c r="AE77" i="3" s="1"/>
  <c r="AF77" i="3" s="1"/>
  <c r="Z34" i="3"/>
  <c r="AY34" i="3"/>
  <c r="AN56" i="3"/>
  <c r="AO56" i="3" s="1"/>
  <c r="AL56" i="3"/>
  <c r="AN59" i="3"/>
  <c r="AO59" i="3" s="1"/>
  <c r="AL59" i="3"/>
  <c r="AI61" i="3"/>
  <c r="AJ61" i="3" s="1"/>
  <c r="AK61" i="3" s="1"/>
  <c r="AD61" i="3"/>
  <c r="AE61" i="3" s="1"/>
  <c r="AF61" i="3" s="1"/>
  <c r="AC61" i="3"/>
  <c r="AH61" i="3"/>
  <c r="AY47" i="3"/>
  <c r="AY72" i="3"/>
  <c r="AH98" i="3"/>
  <c r="AD98" i="3"/>
  <c r="AE98" i="3" s="1"/>
  <c r="AF98" i="3" s="1"/>
  <c r="AC98" i="3"/>
  <c r="AI98" i="3"/>
  <c r="AJ98" i="3" s="1"/>
  <c r="AK98" i="3" s="1"/>
  <c r="AH66" i="3"/>
  <c r="AI66" i="3"/>
  <c r="AJ66" i="3" s="1"/>
  <c r="AK66" i="3" s="1"/>
  <c r="AC66" i="3"/>
  <c r="AD66" i="3"/>
  <c r="AE66" i="3" s="1"/>
  <c r="AF66" i="3" s="1"/>
  <c r="AN36" i="3"/>
  <c r="AO36" i="3" s="1"/>
  <c r="AL36" i="3"/>
  <c r="AN50" i="3"/>
  <c r="AO50" i="3" s="1"/>
  <c r="AL50" i="3"/>
  <c r="AI23" i="3"/>
  <c r="AJ23" i="3" s="1"/>
  <c r="AD23" i="3"/>
  <c r="AE23" i="3" s="1"/>
  <c r="AC23" i="3"/>
  <c r="AH23" i="3"/>
  <c r="AN22" i="3"/>
  <c r="AO22" i="3"/>
  <c r="L32" i="2" s="1"/>
  <c r="AL22" i="3"/>
  <c r="AN98" i="3"/>
  <c r="AO98" i="3" s="1"/>
  <c r="AL98" i="3"/>
  <c r="AD80" i="3"/>
  <c r="AE80" i="3" s="1"/>
  <c r="AF80" i="3" s="1"/>
  <c r="AI80" i="3"/>
  <c r="AJ80" i="3" s="1"/>
  <c r="AK80" i="3" s="1"/>
  <c r="AH80" i="3"/>
  <c r="AC80" i="3"/>
  <c r="AK18" i="3"/>
  <c r="K28" i="2"/>
  <c r="AN23" i="3"/>
  <c r="AO23" i="3" s="1"/>
  <c r="L33" i="2" s="1"/>
  <c r="AL23" i="3"/>
  <c r="Z24" i="3"/>
  <c r="AY24" i="3"/>
  <c r="AN61" i="3"/>
  <c r="AO61" i="3" s="1"/>
  <c r="AL61" i="3"/>
  <c r="AN85" i="3"/>
  <c r="AO85" i="3" s="1"/>
  <c r="AL85" i="3"/>
  <c r="AC22" i="3"/>
  <c r="AH22" i="3"/>
  <c r="AD22" i="3"/>
  <c r="AE22" i="3" s="1"/>
  <c r="AI22" i="3"/>
  <c r="AJ22" i="3" s="1"/>
  <c r="AI59" i="3"/>
  <c r="AJ59" i="3" s="1"/>
  <c r="AK59" i="3" s="1"/>
  <c r="AH59" i="3"/>
  <c r="AD59" i="3"/>
  <c r="AE59" i="3" s="1"/>
  <c r="AF59" i="3" s="1"/>
  <c r="AC59" i="3"/>
  <c r="Z93" i="3"/>
  <c r="AY93" i="3"/>
  <c r="AY77" i="3"/>
  <c r="AH53" i="3"/>
  <c r="AD53" i="3"/>
  <c r="AE53" i="3" s="1"/>
  <c r="AF53" i="3" s="1"/>
  <c r="AC53" i="3"/>
  <c r="AI53" i="3"/>
  <c r="AJ53" i="3" s="1"/>
  <c r="AK53" i="3" s="1"/>
  <c r="Z70" i="3"/>
  <c r="AY70" i="3"/>
  <c r="AN82" i="3"/>
  <c r="AO82" i="3" s="1"/>
  <c r="AL82" i="3"/>
  <c r="AH50" i="3"/>
  <c r="AC50" i="3"/>
  <c r="AD50" i="3"/>
  <c r="AE50" i="3" s="1"/>
  <c r="AF50" i="3" s="1"/>
  <c r="AI50" i="3"/>
  <c r="AJ50" i="3" s="1"/>
  <c r="AK50" i="3" s="1"/>
  <c r="J28" i="2"/>
  <c r="AF18" i="3"/>
  <c r="AY99" i="3"/>
  <c r="I30" i="2"/>
  <c r="Z20" i="3"/>
  <c r="AN21" i="3"/>
  <c r="AO21" i="3" s="1"/>
  <c r="L31" i="2" s="1"/>
  <c r="AL21" i="3"/>
  <c r="AD24" i="3"/>
  <c r="AE24" i="3" s="1"/>
  <c r="AF24" i="3" s="1"/>
  <c r="AC24" i="3"/>
  <c r="AI24" i="3"/>
  <c r="AJ24" i="3" s="1"/>
  <c r="AK24" i="3" s="1"/>
  <c r="AH24" i="3"/>
  <c r="AY59" i="3"/>
  <c r="Z59" i="3"/>
  <c r="Z88" i="3"/>
  <c r="AY88" i="3"/>
  <c r="AC70" i="3"/>
  <c r="AH70" i="3"/>
  <c r="AI70" i="3"/>
  <c r="AJ70" i="3" s="1"/>
  <c r="AK70" i="3" s="1"/>
  <c r="AD70" i="3"/>
  <c r="AE70" i="3" s="1"/>
  <c r="AF70" i="3" s="1"/>
  <c r="I32" i="2"/>
  <c r="Z22" i="3"/>
  <c r="AY66" i="3"/>
  <c r="AY51" i="3"/>
  <c r="AN32" i="3"/>
  <c r="AO32" i="3" s="1"/>
  <c r="AL32" i="3"/>
  <c r="AD93" i="3"/>
  <c r="AE93" i="3" s="1"/>
  <c r="AF93" i="3" s="1"/>
  <c r="AC93" i="3"/>
  <c r="AI93" i="3"/>
  <c r="AJ93" i="3" s="1"/>
  <c r="AK93" i="3" s="1"/>
  <c r="AH93" i="3"/>
  <c r="AN26" i="3"/>
  <c r="AO26" i="3" s="1"/>
  <c r="AL26" i="3"/>
  <c r="AN43" i="3"/>
  <c r="AO43" i="3" s="1"/>
  <c r="AL43" i="3"/>
  <c r="AC41" i="3"/>
  <c r="AI41" i="3"/>
  <c r="AJ41" i="3" s="1"/>
  <c r="AK41" i="3" s="1"/>
  <c r="AH41" i="3"/>
  <c r="AD41" i="3"/>
  <c r="AE41" i="3" s="1"/>
  <c r="AF41" i="3" s="1"/>
  <c r="Z67" i="3"/>
  <c r="AY67" i="3"/>
  <c r="AN66" i="3"/>
  <c r="AO66" i="3" s="1"/>
  <c r="AL66" i="3"/>
  <c r="Z85" i="3"/>
  <c r="AY85" i="3"/>
  <c r="AN95" i="3"/>
  <c r="AO95" i="3" s="1"/>
  <c r="AL95" i="3"/>
  <c r="AI85" i="3"/>
  <c r="AJ85" i="3" s="1"/>
  <c r="AK85" i="3" s="1"/>
  <c r="AH85" i="3"/>
  <c r="AC85" i="3"/>
  <c r="AD85" i="3"/>
  <c r="AE85" i="3" s="1"/>
  <c r="AF85" i="3" s="1"/>
  <c r="AN34" i="3"/>
  <c r="AO34" i="3" s="1"/>
  <c r="AL34" i="3"/>
  <c r="AD21" i="3"/>
  <c r="AE21" i="3" s="1"/>
  <c r="AC21" i="3"/>
  <c r="AI21" i="3"/>
  <c r="AJ21" i="3" s="1"/>
  <c r="AH21" i="3"/>
  <c r="AN93" i="3"/>
  <c r="AO93" i="3" s="1"/>
  <c r="AL93" i="3"/>
  <c r="Z26" i="3"/>
  <c r="AY26" i="3"/>
  <c r="AD72" i="3"/>
  <c r="AE72" i="3" s="1"/>
  <c r="AF72" i="3" s="1"/>
  <c r="AH72" i="3"/>
  <c r="AI72" i="3"/>
  <c r="AJ72" i="3" s="1"/>
  <c r="AK72" i="3" s="1"/>
  <c r="AC72" i="3"/>
  <c r="AN70" i="3"/>
  <c r="AO70" i="3" s="1"/>
  <c r="AL70" i="3"/>
  <c r="Z43" i="3"/>
  <c r="AY43" i="3"/>
  <c r="AH82" i="3"/>
  <c r="AD82" i="3"/>
  <c r="AE82" i="3" s="1"/>
  <c r="AF82" i="3" s="1"/>
  <c r="AC82" i="3"/>
  <c r="AI82" i="3"/>
  <c r="AJ82" i="3" s="1"/>
  <c r="AK82" i="3" s="1"/>
  <c r="AD51" i="3"/>
  <c r="AE51" i="3" s="1"/>
  <c r="AF51" i="3" s="1"/>
  <c r="AC51" i="3"/>
  <c r="AI51" i="3"/>
  <c r="AJ51" i="3" s="1"/>
  <c r="AK51" i="3" s="1"/>
  <c r="AH51" i="3"/>
  <c r="AN75" i="3"/>
  <c r="AO75" i="3" s="1"/>
  <c r="AL75" i="3"/>
  <c r="K27" i="2"/>
  <c r="AK17" i="3"/>
  <c r="AN53" i="3"/>
  <c r="AO53" i="3" s="1"/>
  <c r="AL53" i="3"/>
  <c r="Z86" i="3"/>
  <c r="AY86" i="3"/>
  <c r="AY80" i="3"/>
  <c r="Z80" i="3"/>
  <c r="AI43" i="3"/>
  <c r="AJ43" i="3" s="1"/>
  <c r="AK43" i="3" s="1"/>
  <c r="AD43" i="3"/>
  <c r="AE43" i="3" s="1"/>
  <c r="AF43" i="3" s="1"/>
  <c r="AH43" i="3"/>
  <c r="AC43" i="3"/>
  <c r="AN77" i="3"/>
  <c r="AO77" i="3" s="1"/>
  <c r="AL77" i="3"/>
  <c r="AD99" i="3"/>
  <c r="AE99" i="3" s="1"/>
  <c r="AF99" i="3" s="1"/>
  <c r="AC99" i="3"/>
  <c r="AI99" i="3"/>
  <c r="AJ99" i="3" s="1"/>
  <c r="AK99" i="3" s="1"/>
  <c r="AH99" i="3"/>
  <c r="AH47" i="3"/>
  <c r="AC47" i="3"/>
  <c r="AD47" i="3"/>
  <c r="AE47" i="3" s="1"/>
  <c r="AF47" i="3" s="1"/>
  <c r="AI47" i="3"/>
  <c r="AJ47" i="3" s="1"/>
  <c r="AK47" i="3" s="1"/>
  <c r="AD26" i="3"/>
  <c r="AE26" i="3" s="1"/>
  <c r="AF26" i="3" s="1"/>
  <c r="AI26" i="3"/>
  <c r="AJ26" i="3" s="1"/>
  <c r="AK26" i="3" s="1"/>
  <c r="AH26" i="3"/>
  <c r="AC26" i="3"/>
  <c r="AN45" i="3"/>
  <c r="AO45" i="3" s="1"/>
  <c r="AL45" i="3"/>
  <c r="AD32" i="3"/>
  <c r="AE32" i="3" s="1"/>
  <c r="AF32" i="3" s="1"/>
  <c r="AI32" i="3"/>
  <c r="AJ32" i="3" s="1"/>
  <c r="AK32" i="3" s="1"/>
  <c r="AH32" i="3"/>
  <c r="AC32" i="3"/>
  <c r="AN51" i="3"/>
  <c r="AO51" i="3" s="1"/>
  <c r="AL51" i="3"/>
  <c r="AN25" i="3"/>
  <c r="AO25" i="3" s="1"/>
  <c r="AL25" i="3"/>
  <c r="AC75" i="3"/>
  <c r="AH75" i="3"/>
  <c r="AI75" i="3"/>
  <c r="AJ75" i="3" s="1"/>
  <c r="AK75" i="3" s="1"/>
  <c r="AD75" i="3"/>
  <c r="AE75" i="3" s="1"/>
  <c r="AF75" i="3" s="1"/>
  <c r="AN99" i="3"/>
  <c r="AO99" i="3" s="1"/>
  <c r="AL99" i="3"/>
  <c r="AN83" i="3"/>
  <c r="AO83" i="3" s="1"/>
  <c r="AL83" i="3"/>
  <c r="AI86" i="3"/>
  <c r="AJ86" i="3" s="1"/>
  <c r="AK86" i="3" s="1"/>
  <c r="AH86" i="3"/>
  <c r="AD86" i="3"/>
  <c r="AE86" i="3" s="1"/>
  <c r="AF86" i="3" s="1"/>
  <c r="AC86" i="3"/>
  <c r="Z74" i="3"/>
  <c r="AY74" i="3"/>
  <c r="Z75" i="3"/>
  <c r="AY75" i="3"/>
  <c r="AD88" i="3"/>
  <c r="AE88" i="3" s="1"/>
  <c r="AF88" i="3" s="1"/>
  <c r="AH88" i="3"/>
  <c r="AI88" i="3"/>
  <c r="AJ88" i="3" s="1"/>
  <c r="AK88" i="3" s="1"/>
  <c r="AC88" i="3"/>
  <c r="AN86" i="3"/>
  <c r="AO86" i="3" s="1"/>
  <c r="AL86" i="3"/>
  <c r="AY95" i="3"/>
  <c r="AD45" i="3"/>
  <c r="AE45" i="3" s="1"/>
  <c r="AF45" i="3" s="1"/>
  <c r="AI45" i="3"/>
  <c r="AJ45" i="3" s="1"/>
  <c r="AK45" i="3" s="1"/>
  <c r="AH45" i="3"/>
  <c r="AC45" i="3"/>
  <c r="AY98" i="3"/>
  <c r="AY68" i="3"/>
  <c r="AN80" i="3"/>
  <c r="AO80" i="3" s="1"/>
  <c r="AL80" i="3"/>
  <c r="AN47" i="3"/>
  <c r="AO47" i="3" s="1"/>
  <c r="AL47" i="3"/>
  <c r="AI20" i="3"/>
  <c r="AJ20" i="3" s="1"/>
  <c r="AD20" i="3"/>
  <c r="AE20" i="3" s="1"/>
  <c r="AH20" i="3"/>
  <c r="AC20" i="3"/>
  <c r="AD56" i="3"/>
  <c r="AE56" i="3" s="1"/>
  <c r="AF56" i="3" s="1"/>
  <c r="AH56" i="3"/>
  <c r="AC56" i="3"/>
  <c r="AI56" i="3"/>
  <c r="AJ56" i="3" s="1"/>
  <c r="AK56" i="3" s="1"/>
  <c r="AN88" i="3"/>
  <c r="AO88" i="3" s="1"/>
  <c r="AL88" i="3"/>
  <c r="AY41" i="3"/>
  <c r="Z25" i="3"/>
  <c r="AY25" i="3"/>
  <c r="AN72" i="3"/>
  <c r="AO72" i="3" s="1"/>
  <c r="AL72" i="3"/>
  <c r="Z45" i="3"/>
  <c r="AY45" i="3"/>
  <c r="AN84" i="3"/>
  <c r="AO84" i="3" s="1"/>
  <c r="AL84" i="3"/>
  <c r="I33" i="2"/>
  <c r="Z23" i="3"/>
  <c r="Z61" i="3"/>
  <c r="AY61" i="3"/>
  <c r="I31" i="2"/>
  <c r="Z21" i="3"/>
  <c r="AY21" i="3"/>
  <c r="AN20" i="3"/>
  <c r="AO20" i="3" s="1"/>
  <c r="L30" i="2" s="1"/>
  <c r="AL20" i="3"/>
  <c r="Z56" i="3"/>
  <c r="AY56" i="3"/>
  <c r="AN74" i="3"/>
  <c r="AO74" i="3" s="1"/>
  <c r="AL74" i="3"/>
  <c r="AH74" i="3"/>
  <c r="AD74" i="3"/>
  <c r="AE74" i="3" s="1"/>
  <c r="AF74" i="3" s="1"/>
  <c r="AI74" i="3"/>
  <c r="AJ74" i="3" s="1"/>
  <c r="AK74" i="3" s="1"/>
  <c r="AC74" i="3"/>
  <c r="J27" i="2"/>
  <c r="AF17" i="3"/>
  <c r="Z53" i="3"/>
  <c r="AY53" i="3"/>
  <c r="AH25" i="3"/>
  <c r="AI25" i="3"/>
  <c r="AJ25" i="3" s="1"/>
  <c r="AK25" i="3" s="1"/>
  <c r="AC25" i="3"/>
  <c r="AD25" i="3"/>
  <c r="AE25" i="3" s="1"/>
  <c r="AF25" i="3" s="1"/>
  <c r="AI36" i="3"/>
  <c r="AJ36" i="3" s="1"/>
  <c r="AK36" i="3" s="1"/>
  <c r="AH36" i="3"/>
  <c r="AD36" i="3"/>
  <c r="AE36" i="3" s="1"/>
  <c r="AF36" i="3" s="1"/>
  <c r="AC36" i="3"/>
  <c r="AN67" i="3"/>
  <c r="AO67" i="3"/>
  <c r="AL67" i="3"/>
  <c r="AN41" i="3"/>
  <c r="AO41" i="3" s="1"/>
  <c r="AL41" i="3"/>
  <c r="AD84" i="3"/>
  <c r="AE84" i="3" s="1"/>
  <c r="AF84" i="3" s="1"/>
  <c r="AH84" i="3"/>
  <c r="AI84" i="3"/>
  <c r="AJ84" i="3" s="1"/>
  <c r="AK84" i="3" s="1"/>
  <c r="AC84" i="3"/>
  <c r="AN68" i="3"/>
  <c r="AO68" i="3" s="1"/>
  <c r="AL68" i="3"/>
  <c r="AC95" i="3"/>
  <c r="AD95" i="3"/>
  <c r="AE95" i="3" s="1"/>
  <c r="AF95" i="3" s="1"/>
  <c r="AI95" i="3"/>
  <c r="AJ95" i="3" s="1"/>
  <c r="AK95" i="3" s="1"/>
  <c r="AH95" i="3"/>
  <c r="AH34" i="3"/>
  <c r="AI34" i="3"/>
  <c r="AJ34" i="3" s="1"/>
  <c r="AK34" i="3" s="1"/>
  <c r="AD34" i="3"/>
  <c r="AE34" i="3" s="1"/>
  <c r="AF34" i="3" s="1"/>
  <c r="AC34" i="3"/>
  <c r="AD67" i="3"/>
  <c r="AE67" i="3" s="1"/>
  <c r="AF67" i="3" s="1"/>
  <c r="AC67" i="3"/>
  <c r="AH67" i="3"/>
  <c r="AI67" i="3"/>
  <c r="AJ67" i="3" s="1"/>
  <c r="AK67" i="3" s="1"/>
  <c r="AD68" i="3"/>
  <c r="AE68" i="3" s="1"/>
  <c r="AF68" i="3" s="1"/>
  <c r="AI68" i="3"/>
  <c r="AJ68" i="3" s="1"/>
  <c r="AK68" i="3" s="1"/>
  <c r="AH68" i="3"/>
  <c r="AC68" i="3"/>
  <c r="AN24" i="3"/>
  <c r="AO24" i="3" s="1"/>
  <c r="AL24" i="3"/>
  <c r="AM9" i="3" l="1"/>
  <c r="F23" i="2"/>
  <c r="AM13" i="3"/>
  <c r="BK9" i="3"/>
  <c r="BM9" i="3" s="1"/>
  <c r="I9" i="3" s="1"/>
  <c r="AM7" i="3"/>
  <c r="BK7" i="3"/>
  <c r="BP7" i="3" s="1"/>
  <c r="X7" i="3" s="1"/>
  <c r="BK15" i="3"/>
  <c r="BL15" i="3" s="1"/>
  <c r="AM8" i="3"/>
  <c r="AM6" i="3"/>
  <c r="F25" i="2"/>
  <c r="F15" i="2"/>
  <c r="AM14" i="3"/>
  <c r="AM11" i="3"/>
  <c r="BK5" i="3"/>
  <c r="BP5" i="3" s="1"/>
  <c r="X5" i="3" s="1"/>
  <c r="BK8" i="3"/>
  <c r="BN8" i="3" s="1"/>
  <c r="V8" i="3" s="1"/>
  <c r="Y8" i="3" s="1"/>
  <c r="BK14" i="3"/>
  <c r="BP14" i="3" s="1"/>
  <c r="X14" i="3" s="1"/>
  <c r="BK11" i="3"/>
  <c r="BP11" i="3" s="1"/>
  <c r="X11" i="3" s="1"/>
  <c r="AM16" i="3"/>
  <c r="F16" i="2"/>
  <c r="F14" i="2"/>
  <c r="AM4" i="3"/>
  <c r="BK12" i="3"/>
  <c r="BP12" i="3" s="1"/>
  <c r="X12" i="3" s="1"/>
  <c r="F26" i="2"/>
  <c r="F22" i="2"/>
  <c r="AM10" i="3"/>
  <c r="F20" i="2"/>
  <c r="BP4" i="3"/>
  <c r="X4" i="3" s="1"/>
  <c r="BQ4" i="3"/>
  <c r="T4" i="3" s="1"/>
  <c r="BO4" i="3"/>
  <c r="W4" i="3" s="1"/>
  <c r="BM4" i="3"/>
  <c r="I4" i="3" s="1"/>
  <c r="BL4" i="3"/>
  <c r="BN4" i="3"/>
  <c r="V4" i="3" s="1"/>
  <c r="Y4" i="3" s="1"/>
  <c r="BO16" i="3"/>
  <c r="W16" i="3" s="1"/>
  <c r="BM16" i="3"/>
  <c r="I16" i="3" s="1"/>
  <c r="BL16" i="3"/>
  <c r="BQ16" i="3"/>
  <c r="T16" i="3" s="1"/>
  <c r="BP16" i="3"/>
  <c r="X16" i="3" s="1"/>
  <c r="BN16" i="3"/>
  <c r="V16" i="3" s="1"/>
  <c r="Y16" i="3" s="1"/>
  <c r="AF23" i="3"/>
  <c r="J33" i="2"/>
  <c r="AK23" i="3"/>
  <c r="K33" i="2"/>
  <c r="AK22" i="3"/>
  <c r="K32" i="2"/>
  <c r="BP13" i="3"/>
  <c r="X13" i="3" s="1"/>
  <c r="BN13" i="3"/>
  <c r="V13" i="3" s="1"/>
  <c r="Y13" i="3" s="1"/>
  <c r="BQ13" i="3"/>
  <c r="T13" i="3" s="1"/>
  <c r="BM13" i="3"/>
  <c r="I13" i="3" s="1"/>
  <c r="BL13" i="3"/>
  <c r="BO13" i="3"/>
  <c r="W13" i="3" s="1"/>
  <c r="AF21" i="3"/>
  <c r="J31" i="2"/>
  <c r="J32" i="2"/>
  <c r="AF22" i="3"/>
  <c r="BN10" i="3"/>
  <c r="V10" i="3" s="1"/>
  <c r="Y10" i="3" s="1"/>
  <c r="BQ10" i="3"/>
  <c r="T10" i="3" s="1"/>
  <c r="BO10" i="3"/>
  <c r="W10" i="3" s="1"/>
  <c r="BP10" i="3"/>
  <c r="X10" i="3" s="1"/>
  <c r="BL10" i="3"/>
  <c r="BM10" i="3"/>
  <c r="I10" i="3" s="1"/>
  <c r="AF20" i="3"/>
  <c r="J30" i="2"/>
  <c r="BM6" i="3"/>
  <c r="I6" i="3" s="1"/>
  <c r="BQ6" i="3"/>
  <c r="T6" i="3" s="1"/>
  <c r="BP6" i="3"/>
  <c r="X6" i="3" s="1"/>
  <c r="BO6" i="3"/>
  <c r="W6" i="3" s="1"/>
  <c r="BN6" i="3"/>
  <c r="V6" i="3" s="1"/>
  <c r="Y6" i="3" s="1"/>
  <c r="BL6" i="3"/>
  <c r="AK20" i="3"/>
  <c r="K30" i="2"/>
  <c r="K31" i="2"/>
  <c r="AK21" i="3"/>
  <c r="BM15" i="3"/>
  <c r="I15" i="3" s="1"/>
  <c r="BP15" i="3"/>
  <c r="X15" i="3" s="1"/>
  <c r="BN15" i="3"/>
  <c r="V15" i="3" s="1"/>
  <c r="Y15" i="3" s="1"/>
  <c r="BQ12" i="3" l="1"/>
  <c r="T12" i="3" s="1"/>
  <c r="AN12" i="3" s="1"/>
  <c r="BQ7" i="3"/>
  <c r="T7" i="3" s="1"/>
  <c r="BM7" i="3"/>
  <c r="I7" i="3" s="1"/>
  <c r="BL7" i="3"/>
  <c r="BQ15" i="3"/>
  <c r="T15" i="3" s="1"/>
  <c r="AL15" i="3" s="1"/>
  <c r="BN7" i="3"/>
  <c r="V7" i="3" s="1"/>
  <c r="Y7" i="3" s="1"/>
  <c r="I17" i="2" s="1"/>
  <c r="BO15" i="3"/>
  <c r="W15" i="3" s="1"/>
  <c r="AH15" i="3" s="1"/>
  <c r="BO7" i="3"/>
  <c r="W7" i="3" s="1"/>
  <c r="AD7" i="3" s="1"/>
  <c r="AE7" i="3" s="1"/>
  <c r="BP9" i="3"/>
  <c r="X9" i="3" s="1"/>
  <c r="BN12" i="3"/>
  <c r="V12" i="3" s="1"/>
  <c r="Y12" i="3" s="1"/>
  <c r="I22" i="2" s="1"/>
  <c r="BL9" i="3"/>
  <c r="BO14" i="3"/>
  <c r="W14" i="3" s="1"/>
  <c r="AC14" i="3" s="1"/>
  <c r="BN5" i="3"/>
  <c r="V5" i="3" s="1"/>
  <c r="Y5" i="3" s="1"/>
  <c r="AY5" i="3" s="1"/>
  <c r="BO12" i="3"/>
  <c r="W12" i="3" s="1"/>
  <c r="AI12" i="3" s="1"/>
  <c r="AJ12" i="3" s="1"/>
  <c r="BO9" i="3"/>
  <c r="W9" i="3" s="1"/>
  <c r="BM12" i="3"/>
  <c r="I12" i="3" s="1"/>
  <c r="BQ9" i="3"/>
  <c r="T9" i="3" s="1"/>
  <c r="AL9" i="3" s="1"/>
  <c r="BL12" i="3"/>
  <c r="BN9" i="3"/>
  <c r="V9" i="3" s="1"/>
  <c r="Y9" i="3" s="1"/>
  <c r="I19" i="2" s="1"/>
  <c r="BM5" i="3"/>
  <c r="I5" i="3" s="1"/>
  <c r="BL5" i="3"/>
  <c r="BQ5" i="3"/>
  <c r="T5" i="3" s="1"/>
  <c r="BO5" i="3"/>
  <c r="W5" i="3" s="1"/>
  <c r="AH5" i="3" s="1"/>
  <c r="BL8" i="3"/>
  <c r="BM11" i="3"/>
  <c r="I11" i="3" s="1"/>
  <c r="BP8" i="3"/>
  <c r="X8" i="3" s="1"/>
  <c r="BL11" i="3"/>
  <c r="BO8" i="3"/>
  <c r="W8" i="3" s="1"/>
  <c r="BQ11" i="3"/>
  <c r="T11" i="3" s="1"/>
  <c r="AL11" i="3" s="1"/>
  <c r="BO11" i="3"/>
  <c r="W11" i="3" s="1"/>
  <c r="AI11" i="3" s="1"/>
  <c r="AJ11" i="3" s="1"/>
  <c r="BN11" i="3"/>
  <c r="V11" i="3" s="1"/>
  <c r="Y11" i="3" s="1"/>
  <c r="Z11" i="3" s="1"/>
  <c r="BQ14" i="3"/>
  <c r="T14" i="3" s="1"/>
  <c r="AN14" i="3" s="1"/>
  <c r="AO14" i="3" s="1"/>
  <c r="L24" i="2" s="1"/>
  <c r="BN14" i="3"/>
  <c r="V14" i="3" s="1"/>
  <c r="Y14" i="3" s="1"/>
  <c r="AY14" i="3" s="1"/>
  <c r="BL14" i="3"/>
  <c r="BM14" i="3"/>
  <c r="I14" i="3" s="1"/>
  <c r="BM8" i="3"/>
  <c r="I8" i="3" s="1"/>
  <c r="BQ8" i="3"/>
  <c r="T8" i="3" s="1"/>
  <c r="AN8" i="3" s="1"/>
  <c r="AO8" i="3" s="1"/>
  <c r="L18" i="2" s="1"/>
  <c r="AN6" i="3"/>
  <c r="AO6" i="3" s="1"/>
  <c r="L16" i="2" s="1"/>
  <c r="AL6" i="3"/>
  <c r="I18" i="2"/>
  <c r="Z8" i="3"/>
  <c r="AY8" i="3"/>
  <c r="Z7" i="3"/>
  <c r="AY7" i="3"/>
  <c r="AN13" i="3"/>
  <c r="AO13" i="3" s="1"/>
  <c r="L23" i="2" s="1"/>
  <c r="AL13" i="3"/>
  <c r="I23" i="2"/>
  <c r="AY13" i="3"/>
  <c r="Z13" i="3"/>
  <c r="AN10" i="3"/>
  <c r="AO10" i="3" s="1"/>
  <c r="L20" i="2" s="1"/>
  <c r="AL10" i="3"/>
  <c r="I26" i="2"/>
  <c r="Z16" i="3"/>
  <c r="AY16" i="3"/>
  <c r="AL16" i="3"/>
  <c r="AN16" i="3"/>
  <c r="AO16" i="3" s="1"/>
  <c r="L26" i="2" s="1"/>
  <c r="I14" i="2"/>
  <c r="Z4" i="3"/>
  <c r="AY4" i="3"/>
  <c r="AY10" i="3"/>
  <c r="Z10" i="3"/>
  <c r="I20" i="2"/>
  <c r="I16" i="2"/>
  <c r="Z6" i="3"/>
  <c r="AY6" i="3"/>
  <c r="AI16" i="3"/>
  <c r="AJ16" i="3" s="1"/>
  <c r="AH16" i="3"/>
  <c r="AC16" i="3"/>
  <c r="AD16" i="3"/>
  <c r="AE16" i="3" s="1"/>
  <c r="AD4" i="3"/>
  <c r="AE4" i="3" s="1"/>
  <c r="AH4" i="3"/>
  <c r="AI4" i="3"/>
  <c r="AJ4" i="3" s="1"/>
  <c r="AC4" i="3"/>
  <c r="I25" i="2"/>
  <c r="Z15" i="3"/>
  <c r="AY15" i="3"/>
  <c r="AC10" i="3"/>
  <c r="AH10" i="3"/>
  <c r="AI10" i="3"/>
  <c r="AJ10" i="3" s="1"/>
  <c r="AD10" i="3"/>
  <c r="AE10" i="3" s="1"/>
  <c r="AC6" i="3"/>
  <c r="AI6" i="3"/>
  <c r="AJ6" i="3" s="1"/>
  <c r="AH6" i="3"/>
  <c r="AD6" i="3"/>
  <c r="AE6" i="3" s="1"/>
  <c r="AI13" i="3"/>
  <c r="AJ13" i="3" s="1"/>
  <c r="AH13" i="3"/>
  <c r="AC13" i="3"/>
  <c r="AD13" i="3"/>
  <c r="AE13" i="3" s="1"/>
  <c r="AN7" i="3"/>
  <c r="AO7" i="3" s="1"/>
  <c r="L17" i="2" s="1"/>
  <c r="AL7" i="3"/>
  <c r="AL4" i="3"/>
  <c r="AN4" i="3"/>
  <c r="AO4" i="3" s="1"/>
  <c r="L14" i="2" s="1"/>
  <c r="AL12" i="3" l="1"/>
  <c r="AO12" i="3"/>
  <c r="L22" i="2" s="1"/>
  <c r="I15" i="2"/>
  <c r="AD14" i="3"/>
  <c r="AE14" i="3" s="1"/>
  <c r="AC15" i="3"/>
  <c r="AC5" i="3"/>
  <c r="AN15" i="3"/>
  <c r="AO15" i="3" s="1"/>
  <c r="L25" i="2" s="1"/>
  <c r="Z5" i="3"/>
  <c r="AI15" i="3"/>
  <c r="AJ15" i="3" s="1"/>
  <c r="AD5" i="3"/>
  <c r="AE5" i="3" s="1"/>
  <c r="AH9" i="3"/>
  <c r="AD15" i="3"/>
  <c r="AE15" i="3" s="1"/>
  <c r="AY12" i="3"/>
  <c r="Z12" i="3"/>
  <c r="AI8" i="3"/>
  <c r="AJ8" i="3" s="1"/>
  <c r="K18" i="2" s="1"/>
  <c r="AI7" i="3"/>
  <c r="AJ7" i="3" s="1"/>
  <c r="AK7" i="3" s="1"/>
  <c r="AH7" i="3"/>
  <c r="AC7" i="3"/>
  <c r="AC12" i="3"/>
  <c r="AH12" i="3"/>
  <c r="AD12" i="3"/>
  <c r="AE12" i="3" s="1"/>
  <c r="J22" i="2" s="1"/>
  <c r="AI14" i="3"/>
  <c r="AJ14" i="3" s="1"/>
  <c r="AI9" i="3"/>
  <c r="AJ9" i="3" s="1"/>
  <c r="K19" i="2" s="1"/>
  <c r="AH14" i="3"/>
  <c r="AC8" i="3"/>
  <c r="AD8" i="3"/>
  <c r="AE8" i="3" s="1"/>
  <c r="AF8" i="3" s="1"/>
  <c r="AY9" i="3"/>
  <c r="AI5" i="3"/>
  <c r="AJ5" i="3" s="1"/>
  <c r="AK5" i="3" s="1"/>
  <c r="Z9" i="3"/>
  <c r="AN9" i="3"/>
  <c r="AO9" i="3" s="1"/>
  <c r="L19" i="2" s="1"/>
  <c r="AC9" i="3"/>
  <c r="AD9" i="3"/>
  <c r="AE9" i="3" s="1"/>
  <c r="AF9" i="3" s="1"/>
  <c r="I24" i="2"/>
  <c r="Z14" i="3"/>
  <c r="AN5" i="3"/>
  <c r="AO5" i="3" s="1"/>
  <c r="L15" i="2" s="1"/>
  <c r="AL14" i="3"/>
  <c r="AD11" i="3"/>
  <c r="AE11" i="3" s="1"/>
  <c r="AF11" i="3" s="1"/>
  <c r="AN11" i="3"/>
  <c r="AO11" i="3" s="1"/>
  <c r="L21" i="2" s="1"/>
  <c r="AC11" i="3"/>
  <c r="AH8" i="3"/>
  <c r="AL5" i="3"/>
  <c r="AH11" i="3"/>
  <c r="AY11" i="3"/>
  <c r="I21" i="2"/>
  <c r="AL8" i="3"/>
  <c r="AF15" i="3"/>
  <c r="J25" i="2"/>
  <c r="AK16" i="3"/>
  <c r="K26" i="2"/>
  <c r="J23" i="2"/>
  <c r="AF13" i="3"/>
  <c r="J20" i="2"/>
  <c r="AF10" i="3"/>
  <c r="AK10" i="3"/>
  <c r="K20" i="2"/>
  <c r="AK14" i="3"/>
  <c r="K24" i="2"/>
  <c r="J17" i="2"/>
  <c r="AF7" i="3"/>
  <c r="AF14" i="3"/>
  <c r="J24" i="2"/>
  <c r="K25" i="2"/>
  <c r="AK15" i="3"/>
  <c r="AK11" i="3"/>
  <c r="K21" i="2"/>
  <c r="J16" i="2"/>
  <c r="AF6" i="3"/>
  <c r="K14" i="2"/>
  <c r="AK4" i="3"/>
  <c r="J14" i="2"/>
  <c r="AF4" i="3"/>
  <c r="AK6" i="3"/>
  <c r="K16" i="2"/>
  <c r="K22" i="2"/>
  <c r="AK12" i="3"/>
  <c r="AF5" i="3"/>
  <c r="J15" i="2"/>
  <c r="AK13" i="3"/>
  <c r="K23" i="2"/>
  <c r="J26" i="2"/>
  <c r="AF16" i="3"/>
  <c r="AK8" i="3" l="1"/>
  <c r="AP16" i="3"/>
  <c r="M26" i="2" s="1"/>
  <c r="J21" i="2"/>
  <c r="K17" i="2"/>
  <c r="J18" i="2"/>
  <c r="AF12" i="3"/>
  <c r="AP12" i="3" s="1"/>
  <c r="M22" i="2" s="1"/>
  <c r="K15" i="2"/>
  <c r="AK9" i="3"/>
  <c r="AP9" i="3" s="1"/>
  <c r="M19" i="2" s="1"/>
  <c r="J19" i="2"/>
  <c r="AP6" i="3"/>
  <c r="M16" i="2" s="1"/>
  <c r="AP5" i="3"/>
  <c r="M15" i="2" s="1"/>
  <c r="AP13" i="3"/>
  <c r="M23" i="2" s="1"/>
  <c r="AP4" i="3"/>
  <c r="M14" i="2" s="1"/>
  <c r="AP14" i="3"/>
  <c r="M24" i="2" s="1"/>
  <c r="AP10" i="3"/>
  <c r="M20" i="2" s="1"/>
  <c r="AP7" i="3"/>
  <c r="M17" i="2" s="1"/>
  <c r="AP15" i="3"/>
  <c r="M25" i="2" s="1"/>
  <c r="AP11" i="3"/>
  <c r="M21" i="2" s="1"/>
  <c r="AP8" i="3"/>
  <c r="M18" i="2" s="1"/>
</calcChain>
</file>

<file path=xl/sharedStrings.xml><?xml version="1.0" encoding="utf-8"?>
<sst xmlns="http://schemas.openxmlformats.org/spreadsheetml/2006/main" count="2315" uniqueCount="484">
  <si>
    <t>ELECTRICAL ENGINEERING • CABLE SIZING AUTOMATION</t>
  </si>
  <si>
    <t>CABLE SIZING &amp; SELECTION</t>
  </si>
  <si>
    <t>Electrical Design • Current Capacity • Voltage Drop • Short-Circuit Checks</t>
  </si>
  <si>
    <t>PROJECT &amp; DOCUMENT CONTROL</t>
  </si>
  <si>
    <t>Project / Plant Name</t>
  </si>
  <si>
    <t>Enter project name</t>
  </si>
  <si>
    <t>Client / Organization</t>
  </si>
  <si>
    <t>Enter client name</t>
  </si>
  <si>
    <t>Project Location</t>
  </si>
  <si>
    <t>Enter site / location</t>
  </si>
  <si>
    <t>System / Panel</t>
  </si>
  <si>
    <t>Cable sizing study</t>
  </si>
  <si>
    <t>Document Number</t>
  </si>
  <si>
    <t>OSD-CBL-AUTO-001</t>
  </si>
  <si>
    <t>Revision Number</t>
  </si>
  <si>
    <t>Rev. 00</t>
  </si>
  <si>
    <t>Document Status</t>
  </si>
  <si>
    <t>For Review</t>
  </si>
  <si>
    <t>Issue Date</t>
  </si>
  <si>
    <t>21-Oct-2026</t>
  </si>
  <si>
    <t>Prepared By</t>
  </si>
  <si>
    <t>Enter name / designation</t>
  </si>
  <si>
    <t>Checked By</t>
  </si>
  <si>
    <t>Approved By</t>
  </si>
  <si>
    <t>Approval Date</t>
  </si>
  <si>
    <t>Enter date</t>
  </si>
  <si>
    <t>WORKBOOK CONTENTS</t>
  </si>
  <si>
    <t>Select a worksheet name below to open the relevant cable sizing section.</t>
  </si>
  <si>
    <t>OS-DORAEN</t>
  </si>
  <si>
    <t>Open worksheet</t>
  </si>
  <si>
    <t>Bulk Calculator</t>
  </si>
  <si>
    <t>Bulk Instructions</t>
  </si>
  <si>
    <t xml:space="preserve"> Motor Calculation</t>
  </si>
  <si>
    <t>Cable Data</t>
  </si>
  <si>
    <t>Formula Guide</t>
  </si>
  <si>
    <t>Design Notes</t>
  </si>
  <si>
    <t>Lists</t>
  </si>
  <si>
    <t>Cable Data Master</t>
  </si>
  <si>
    <t>AUTO ENGINE</t>
  </si>
  <si>
    <t>QA Release Notes</t>
  </si>
  <si>
    <t>DOCUMENT NOTES</t>
  </si>
  <si>
    <t>This workbook is a calculation aid. Verify cable installation method, ambient and grouping derating, conductor material, insulation rating, protective-device coordination, voltage-drop limits, and short-circuit withstand against applicable standards and project requirements before approval.</t>
  </si>
  <si>
    <t>OS-DORAEN — ENGINEERING AUTOMATION</t>
  </si>
  <si>
    <t>VOLUME 3 | AUTOMATIC CABLE SIZING &amp; PROTECTION REVIEW</t>
  </si>
  <si>
    <t>DESIGN CONTROL INPUTS</t>
  </si>
  <si>
    <t>Maximum running voltage drop (%)</t>
  </si>
  <si>
    <t>Maximum starting voltage drop (%)</t>
  </si>
  <si>
    <t>Cable selection method</t>
  </si>
  <si>
    <t>Smallest standard cable size passing current + starting VD + running VD + cable SC</t>
  </si>
  <si>
    <t>Short-circuit method</t>
  </si>
  <si>
    <t>Transformer kVA + LV voltage + nameplate Z% → prospective 3-phase SC</t>
  </si>
  <si>
    <t>IMPORTANT</t>
  </si>
  <si>
    <t>Enter yellow inputs in Bulk Calculator. Cable size is automatic. Transformer Z% and CB Icu/Ics are engineering inputs and must be verified.</t>
  </si>
  <si>
    <t>SYNCHRONIZED BULK RESULTS</t>
  </si>
  <si>
    <t>Sr. No.</t>
  </si>
  <si>
    <t>Equipment / Tag</t>
  </si>
  <si>
    <t>Motor kW</t>
  </si>
  <si>
    <t>Starting Method</t>
  </si>
  <si>
    <t>Runs</t>
  </si>
  <si>
    <t>AUTO Cable Size (mm²)</t>
  </si>
  <si>
    <t>Cable Construction</t>
  </si>
  <si>
    <t>FLC (A)</t>
  </si>
  <si>
    <t>Derated Capacity (A)</t>
  </si>
  <si>
    <t>Starting VD %</t>
  </si>
  <si>
    <t>Running VD %</t>
  </si>
  <si>
    <t>Cable SC Check</t>
  </si>
  <si>
    <t>FINAL CABLE RESULT</t>
  </si>
  <si>
    <t>OS-DORAEN — VOLUME 3 | AUTOMATIC BULK CABLE SIZING &amp; PROTECTION REVIEW</t>
  </si>
  <si>
    <t>YELLOW = USER INPUT | GREEN = AUTOMATIC | Cable size is never entered manually | Transformer Z% = nameplate input | CB Icu/Ics = manufacturer input</t>
  </si>
  <si>
    <t>Transformer Selected KVA</t>
  </si>
  <si>
    <t>Transformer Z% INPUT</t>
  </si>
  <si>
    <t>METHOD OF STARTING</t>
  </si>
  <si>
    <t>AUTO CABLE SIZE mm²</t>
  </si>
  <si>
    <t>Cable Construction (INPUT)</t>
  </si>
  <si>
    <t>OD (AUTO)</t>
  </si>
  <si>
    <t>No. of Runs (INPUT)</t>
  </si>
  <si>
    <t>Voltage V</t>
  </si>
  <si>
    <t>Derating Factor</t>
  </si>
  <si>
    <t>Running PF</t>
  </si>
  <si>
    <t>Efficiency η</t>
  </si>
  <si>
    <t>Cable Length km</t>
  </si>
  <si>
    <t>Starting Multiplier</t>
  </si>
  <si>
    <t>Starting PF</t>
  </si>
  <si>
    <t>Prospective SC kA (AUTO)</t>
  </si>
  <si>
    <t>Fault Time s</t>
  </si>
  <si>
    <t>k Factor (AUTO)</t>
  </si>
  <si>
    <t>FLC A</t>
  </si>
  <si>
    <t>Cable Rating in Air A (AUTO)</t>
  </si>
  <si>
    <t>R Ω/km</t>
  </si>
  <si>
    <t>X Ω/km</t>
  </si>
  <si>
    <t>Derated Capacity A</t>
  </si>
  <si>
    <t>Capacity Check</t>
  </si>
  <si>
    <t>Starting Current A</t>
  </si>
  <si>
    <t>Starting Sinθ</t>
  </si>
  <si>
    <t>Starting Impedance Ω</t>
  </si>
  <si>
    <t>Starting VD V</t>
  </si>
  <si>
    <t>Starting VD Check</t>
  </si>
  <si>
    <t>Running Sinθ</t>
  </si>
  <si>
    <t>Running Impedance Ω</t>
  </si>
  <si>
    <t>Running VD V</t>
  </si>
  <si>
    <t>Running VD Check</t>
  </si>
  <si>
    <t>Min. SC Area mm²</t>
  </si>
  <si>
    <t>Actual Cable Area mm²</t>
  </si>
  <si>
    <t>Cable SC Withstand kA</t>
  </si>
  <si>
    <t>SC Check</t>
  </si>
  <si>
    <t>REQUIRED POLES</t>
  </si>
  <si>
    <t>CB Family</t>
  </si>
  <si>
    <t>Total Design Current A</t>
  </si>
  <si>
    <t>Selected Standard CB Rating A</t>
  </si>
  <si>
    <t>Trip Unit Basis</t>
  </si>
  <si>
    <t>Thermal/Overload Setting Target A</t>
  </si>
  <si>
    <t>Magnetic/Instantaneous Basis</t>
  </si>
  <si>
    <t>Starting Withstand Check</t>
  </si>
  <si>
    <t>Cable Coordination Check</t>
  </si>
  <si>
    <t>FINAL CB SELECTION</t>
  </si>
  <si>
    <t>CB Icu/Ics INPUT kA</t>
  </si>
  <si>
    <t>CB Short-Circuit Check</t>
  </si>
  <si>
    <t>Short-Circuit Design Note</t>
  </si>
  <si>
    <t>MCCB Selection Check</t>
  </si>
  <si>
    <t>Type</t>
  </si>
  <si>
    <t>Cores</t>
  </si>
  <si>
    <t>Material</t>
  </si>
  <si>
    <t>Insulation</t>
  </si>
  <si>
    <t>Armour</t>
  </si>
  <si>
    <t>Size (AUTO)</t>
  </si>
  <si>
    <t>VD Ref (AUTO)</t>
  </si>
  <si>
    <t>Ampacity (AUTO)</t>
  </si>
  <si>
    <t>R (AUTO)</t>
  </si>
  <si>
    <t>X (AUTO)</t>
  </si>
  <si>
    <t>kSC (AUTO)</t>
  </si>
  <si>
    <t>Select Type, Cores, Material, Insulation, Armour and Size. Ampacity, R, X and k_SC are automatic.</t>
  </si>
  <si>
    <t>Motor</t>
  </si>
  <si>
    <t>VFD</t>
  </si>
  <si>
    <t>3C / Al / XLPE / Armoured</t>
  </si>
  <si>
    <t>Star-Delta</t>
  </si>
  <si>
    <t>Screen</t>
  </si>
  <si>
    <t>DOL</t>
  </si>
  <si>
    <t>4C / Al / XLPE / Armoured</t>
  </si>
  <si>
    <t>Dissolved Air Generator</t>
  </si>
  <si>
    <t>Air Compressor</t>
  </si>
  <si>
    <t>3C / Cu / XLPE / Unarmoured</t>
  </si>
  <si>
    <t>DAF Rake Mechanism</t>
  </si>
  <si>
    <t>Air Dryer</t>
  </si>
  <si>
    <t>Direct/Non-Motor</t>
  </si>
  <si>
    <t>MCB</t>
  </si>
  <si>
    <t>Auto drain vavle - 01</t>
  </si>
  <si>
    <t>OS-DORAEN — VOLUME 3 | AUTOMATIC CABLE SIZING | USER GUIDE</t>
  </si>
  <si>
    <t>1</t>
  </si>
  <si>
    <t>Enter inputs</t>
  </si>
  <si>
    <t>Enter equipment/tag, transformer kVA, transformer nameplate Z%, motor kW, starting method, cable construction, runs, voltage, derating factor, PF, efficiency, cable length, starting multiplier/PF and fault time. Never type a cable size.</t>
  </si>
  <si>
    <t>2</t>
  </si>
  <si>
    <t>Automatic selection</t>
  </si>
  <si>
    <t>The hidden AUTO ENGINE evaluates all standard sizes in the Cable Data Master for current capacity, starting VD, running VD and cable short-circuit withstand, then returns the smallest passing size.</t>
  </si>
  <si>
    <t>3</t>
  </si>
  <si>
    <t>Transformer SC</t>
  </si>
  <si>
    <t>Prospective 3-phase SC current is calculated from transformer kVA, LV voltage and nameplate Z%. The previous hard-coded 4.5% calculation has been removed; sample rows retain 4.5% only as an editable starting value.</t>
  </si>
  <si>
    <t>4</t>
  </si>
  <si>
    <t>Voltage drop</t>
  </si>
  <si>
    <t>If both R and X are available for the selected cable, VD uses R/X. Otherwise the manufacturer VD reference is used. The method is recorded in AUTO ENGINE.</t>
  </si>
  <si>
    <t>5</t>
  </si>
  <si>
    <t>Short circuit</t>
  </si>
  <si>
    <t>Cable withstand uses I = k×S/√t. k follows the Volume 3 reference (PVC 115, XLPE 143, EPR 134); verify the applicable cable standard/project basis.</t>
  </si>
  <si>
    <t>6</t>
  </si>
  <si>
    <t>MCCB</t>
  </si>
  <si>
    <t>The standard MCCB frame is the next listed rating ≥ design current. Long-time setting is a target and must be confirmed as an available manufacturer trip-unit setting. Icu/Ics is a separate manufacturer input.</t>
  </si>
  <si>
    <t>7</t>
  </si>
  <si>
    <t>Final cable result</t>
  </si>
  <si>
    <t>SUITABLE is based only on cable current capacity, starting VD, running VD and cable SC checks. Missing CB manufacturer data no longer makes the cable result fail.</t>
  </si>
  <si>
    <t>8</t>
  </si>
  <si>
    <t>Data control</t>
  </si>
  <si>
    <t>Use approved manufacturer/project cable data in Cable Data Master. Reference values must be verified before final engineering issue.</t>
  </si>
  <si>
    <t>TYPICAL 415V LT POWER CABLE SIZING —  LT MOTOR</t>
  </si>
  <si>
    <t>INPUT DATA — AS PER PROVIDED PDF</t>
  </si>
  <si>
    <t>Rating of Motor</t>
  </si>
  <si>
    <t>kW</t>
  </si>
  <si>
    <t>Proposed cable size</t>
  </si>
  <si>
    <t>mm²</t>
  </si>
  <si>
    <t>Cable cores</t>
  </si>
  <si>
    <t>3C</t>
  </si>
  <si>
    <t>No. of runs of cable</t>
  </si>
  <si>
    <t>runs</t>
  </si>
  <si>
    <t>Voltage rating</t>
  </si>
  <si>
    <t>V</t>
  </si>
  <si>
    <t>Cable derating factor</t>
  </si>
  <si>
    <t>Allowable running voltage drop</t>
  </si>
  <si>
    <t>%</t>
  </si>
  <si>
    <t>Allowable starting voltage drop</t>
  </si>
  <si>
    <t>Starting power factor (Cos θs)</t>
  </si>
  <si>
    <t>Starting reactive power factor (Sin θs)</t>
  </si>
  <si>
    <t>Running power factor (Cos θr)</t>
  </si>
  <si>
    <t>Running reactive power factor (Sin θr)</t>
  </si>
  <si>
    <t>Motor efficiency</t>
  </si>
  <si>
    <t>Cable resistance R @ 90°C</t>
  </si>
  <si>
    <t>Ω/km</t>
  </si>
  <si>
    <t>Cable reactance X @ 50 Hz</t>
  </si>
  <si>
    <t>Cable current rating in air</t>
  </si>
  <si>
    <t>A</t>
  </si>
  <si>
    <t>Automatically linked to Cable Data using Proposed cable size.</t>
  </si>
  <si>
    <t>Maximum cable length</t>
  </si>
  <si>
    <t>km</t>
  </si>
  <si>
    <t>Starting-current multiplier</t>
  </si>
  <si>
    <t>×</t>
  </si>
  <si>
    <t>CALCULATED DATA — PDF METHOD</t>
  </si>
  <si>
    <t>Full-load current / FLC</t>
  </si>
  <si>
    <t>Rated kW / (√3 × V × PF × η)</t>
  </si>
  <si>
    <t>Cable derated current</t>
  </si>
  <si>
    <t>No. of runs × derating factor × cable current rating</t>
  </si>
  <si>
    <t>Current-carrying capacity check</t>
  </si>
  <si>
    <t>Derated cable current ≥ FLC</t>
  </si>
  <si>
    <t>Starting current</t>
  </si>
  <si>
    <t>Starting current = multiplier × FLC</t>
  </si>
  <si>
    <t>Starting cable impedance</t>
  </si>
  <si>
    <t>Ω</t>
  </si>
  <si>
    <t>(R Cosθs + X Sinθs) / No. of runs</t>
  </si>
  <si>
    <t>Starting voltage drop</t>
  </si>
  <si>
    <t>√3 × cable length × starting current × starting impedance</t>
  </si>
  <si>
    <t>Starting voltage drop %</t>
  </si>
  <si>
    <t>Starting VD / voltage × 100</t>
  </si>
  <si>
    <t>Starting VD check</t>
  </si>
  <si>
    <t>Starting VD % ≤ allowable starting VD</t>
  </si>
  <si>
    <t>Running cable impedance</t>
  </si>
  <si>
    <t>(R Cosθr + X Sinθr) / No. of runs</t>
  </si>
  <si>
    <t>Running voltage drop</t>
  </si>
  <si>
    <t>√3 × cable length × FLC × running impedance</t>
  </si>
  <si>
    <t>Running voltage drop %</t>
  </si>
  <si>
    <t>Running VD / voltage × 100</t>
  </si>
  <si>
    <t>Running VD check</t>
  </si>
  <si>
    <t>Running VD % ≤ allowable running VD</t>
  </si>
  <si>
    <t>FINAL CABLE CHECK</t>
  </si>
  <si>
    <t>All PDF conditions must pass</t>
  </si>
  <si>
    <t>SHORT-CIRCUIT CHECK</t>
  </si>
  <si>
    <t>Prospective fault current</t>
  </si>
  <si>
    <t>kA</t>
  </si>
  <si>
    <t>Fault current in A</t>
  </si>
  <si>
    <t>Fault clearing time</t>
  </si>
  <si>
    <t>s</t>
  </si>
  <si>
    <t>k factor — Aluminium XLPE reference</t>
  </si>
  <si>
    <t>Minimum S required</t>
  </si>
  <si>
    <t>S = I×√t/k  , use this instead S=cable size x No. of Runs</t>
  </si>
  <si>
    <t>Cable short-circuit withstand</t>
  </si>
  <si>
    <t>I_withstand = k×S/√t</t>
  </si>
  <si>
    <t>SC check</t>
  </si>
  <si>
    <t>Core</t>
  </si>
  <si>
    <t>Conductor</t>
  </si>
  <si>
    <t>Size (mm²)</t>
  </si>
  <si>
    <t>Cable</t>
  </si>
  <si>
    <t>OD (mm)</t>
  </si>
  <si>
    <t>Ampacity Ground (A)</t>
  </si>
  <si>
    <t>Ampacity Air (A)</t>
  </si>
  <si>
    <t>Voltage Drop Ref. (V/A/km)</t>
  </si>
  <si>
    <t>Source / Status</t>
  </si>
  <si>
    <t>R (Ω/km)</t>
  </si>
  <si>
    <t>X (Ω/km)</t>
  </si>
  <si>
    <t>Cable Key</t>
  </si>
  <si>
    <t>Al</t>
  </si>
  <si>
    <t>XLPE</t>
  </si>
  <si>
    <t>Armoured</t>
  </si>
  <si>
    <t>3C x 25 Al XLPE Armoured</t>
  </si>
  <si>
    <t>KEI published 3-core Al XLPE reference</t>
  </si>
  <si>
    <t>Enter R and X once in this master sheet for each cable type. Bulk Calculator will automatically use them.</t>
  </si>
  <si>
    <t>Unarmoured</t>
  </si>
  <si>
    <t>3C x 25 Al XLPE Unarmoured</t>
  </si>
  <si>
    <t>3C x 35 Al XLPE Armoured</t>
  </si>
  <si>
    <t>3C x 35 Al XLPE Unarmoured</t>
  </si>
  <si>
    <t>3C x 50 Al XLPE Armoured</t>
  </si>
  <si>
    <t>3C x 50 Al XLPE Unarmoured</t>
  </si>
  <si>
    <t>3C x 70 Al XLPE Armoured</t>
  </si>
  <si>
    <t>3C x 70 Al XLPE Unarmoured</t>
  </si>
  <si>
    <t>3C x 95 Al XLPE Armoured</t>
  </si>
  <si>
    <t>3C x 95 Al XLPE Unarmoured</t>
  </si>
  <si>
    <t>3C x 120 Al XLPE Armoured</t>
  </si>
  <si>
    <t>3C x 120 Al XLPE Unarmoured</t>
  </si>
  <si>
    <t>3C x 150 Al XLPE Armoured</t>
  </si>
  <si>
    <t>3C x 150 Al XLPE Unarmoured</t>
  </si>
  <si>
    <t>3C x 185 Al XLPE Armoured</t>
  </si>
  <si>
    <t>3C x 185 Al XLPE Unarmoured</t>
  </si>
  <si>
    <t>3C x 240 Al XLPE Armoured</t>
  </si>
  <si>
    <t>3C x 240 Al XLPE Unarmoured</t>
  </si>
  <si>
    <t>3C x 300 Al XLPE Armoured</t>
  </si>
  <si>
    <t>3C x 300 Al XLPE Unarmoured</t>
  </si>
  <si>
    <t>3C x 400 Al XLPE Armoured</t>
  </si>
  <si>
    <t>3C x 400 Al XLPE Unarmoured</t>
  </si>
  <si>
    <t>3.5C</t>
  </si>
  <si>
    <t>3.5C x 16 Al XLPE Armoured</t>
  </si>
  <si>
    <t>Reference table from previous workbook</t>
  </si>
  <si>
    <t>3.5C x 16 Al XLPE Unarmoured</t>
  </si>
  <si>
    <t>3.5C x 25 Al XLPE Armoured</t>
  </si>
  <si>
    <t>3.5C x 25 Al XLPE Unarmoured</t>
  </si>
  <si>
    <t>3.5C x 35 Al XLPE Armoured</t>
  </si>
  <si>
    <t>3.5C x 35 Al XLPE Unarmoured</t>
  </si>
  <si>
    <t>3.5C x 50 Al XLPE Armoured</t>
  </si>
  <si>
    <t>3.5C x 50 Al XLPE Unarmoured</t>
  </si>
  <si>
    <t>3.5C x 70 Al XLPE Armoured</t>
  </si>
  <si>
    <t>3.5C x 70 Al XLPE Unarmoured</t>
  </si>
  <si>
    <t>3.5C x 95 Al XLPE Armoured</t>
  </si>
  <si>
    <t>3.5C x 95 Al XLPE Unarmoured</t>
  </si>
  <si>
    <t>3.5C x 120 Al XLPE Armoured</t>
  </si>
  <si>
    <t>3.5C x 120 Al XLPE Unarmoured</t>
  </si>
  <si>
    <t>3.5C x 150 Al XLPE Armoured</t>
  </si>
  <si>
    <t>3.5C x 150 Al XLPE Unarmoured</t>
  </si>
  <si>
    <t>3.5C x 185 Al XLPE Armoured</t>
  </si>
  <si>
    <t>3.5C x 185 Al XLPE Unarmoured</t>
  </si>
  <si>
    <t>3.5C x 240 Al XLPE Armoured</t>
  </si>
  <si>
    <t>3.5C x 240 Al XLPE Unarmoured</t>
  </si>
  <si>
    <t>3.5C x 300 Al XLPE Armoured</t>
  </si>
  <si>
    <t>3.5C x 300 Al XLPE Unarmoured</t>
  </si>
  <si>
    <t>3.5C x 400 Al XLPE Armoured</t>
  </si>
  <si>
    <t>3.5C x 400 Al XLPE Unarmoured</t>
  </si>
  <si>
    <t>4C</t>
  </si>
  <si>
    <t>4C x 16 Al XLPE Armoured</t>
  </si>
  <si>
    <t>Project-reference; verify manufacturer</t>
  </si>
  <si>
    <t>4C x 16 Al XLPE Unarmoured</t>
  </si>
  <si>
    <t>4C x 25 Al XLPE Armoured</t>
  </si>
  <si>
    <t>4C x 25 Al XLPE Unarmoured</t>
  </si>
  <si>
    <t>4C x 35 Al XLPE Armoured</t>
  </si>
  <si>
    <t>4C x 35 Al XLPE Unarmoured</t>
  </si>
  <si>
    <t>4C x 50 Al XLPE Armoured</t>
  </si>
  <si>
    <t>4C x 50 Al XLPE Unarmoured</t>
  </si>
  <si>
    <t>4C x 70 Al XLPE Armoured</t>
  </si>
  <si>
    <t>4C x 70 Al XLPE Unarmoured</t>
  </si>
  <si>
    <t>4C x 95 Al XLPE Armoured</t>
  </si>
  <si>
    <t>4C x 95 Al XLPE Unarmoured</t>
  </si>
  <si>
    <t>4C x 120 Al XLPE Armoured</t>
  </si>
  <si>
    <t>4C x 120 Al XLPE Unarmoured</t>
  </si>
  <si>
    <t>4C x 150 Al XLPE Armoured</t>
  </si>
  <si>
    <t>4C x 150 Al XLPE Unarmoured</t>
  </si>
  <si>
    <t>4C x 185 Al XLPE Armoured</t>
  </si>
  <si>
    <t>4C x 185 Al XLPE Unarmoured</t>
  </si>
  <si>
    <t>4C x 240 Al XLPE Armoured</t>
  </si>
  <si>
    <t>4C x 240 Al XLPE Unarmoured</t>
  </si>
  <si>
    <t>4C x 300 Al XLPE Armoured</t>
  </si>
  <si>
    <t>4C x 300 Al XLPE Unarmoured</t>
  </si>
  <si>
    <t>4C x 400 Al XLPE Armoured</t>
  </si>
  <si>
    <t>4C x 400 Al XLPE Unarmoured</t>
  </si>
  <si>
    <t>Cu</t>
  </si>
  <si>
    <t>3C x 25 Cu XLPE Armoured (approx.)</t>
  </si>
  <si>
    <t>Approx. Cu reference (25% current-rating uplift); verify manufacturer</t>
  </si>
  <si>
    <t>3C x 25 Cu XLPE Unarmoured (approx.)</t>
  </si>
  <si>
    <t>3C x 35 Cu XLPE Armoured (approx.)</t>
  </si>
  <si>
    <t>3C x 35 Cu XLPE Unarmoured (approx.)</t>
  </si>
  <si>
    <t>3C x 50 Cu XLPE Armoured (approx.)</t>
  </si>
  <si>
    <t>3C x 50 Cu XLPE Unarmoured (approx.)</t>
  </si>
  <si>
    <t>3C x 70 Cu XLPE Armoured (approx.)</t>
  </si>
  <si>
    <t>3C x 70 Cu XLPE Unarmoured (approx.)</t>
  </si>
  <si>
    <t>3C x 95 Cu XLPE Armoured (approx.)</t>
  </si>
  <si>
    <t>3C x 95 Cu XLPE Unarmoured (approx.)</t>
  </si>
  <si>
    <t>3C x 120 Cu XLPE Armoured (approx.)</t>
  </si>
  <si>
    <t>3C x 120 Cu XLPE Unarmoured (approx.)</t>
  </si>
  <si>
    <t>3C x 150 Cu XLPE Armoured (approx.)</t>
  </si>
  <si>
    <t>3C x 150 Cu XLPE Unarmoured (approx.)</t>
  </si>
  <si>
    <t>3C x 185 Cu XLPE Armoured (approx.)</t>
  </si>
  <si>
    <t>3C x 185 Cu XLPE Unarmoured (approx.)</t>
  </si>
  <si>
    <t>3C x 240 Cu XLPE Armoured (approx.)</t>
  </si>
  <si>
    <t>3C x 240 Cu XLPE Unarmoured (approx.)</t>
  </si>
  <si>
    <t>3C x 300 Cu XLPE Armoured (approx.)</t>
  </si>
  <si>
    <t>3C x 300 Cu XLPE Unarmoured (approx.)</t>
  </si>
  <si>
    <t>3C x 400 Cu XLPE Armoured (approx.)</t>
  </si>
  <si>
    <t>3C x 400 Cu XLPE Unarmoured (approx.)</t>
  </si>
  <si>
    <t>3.5C x 16 Cu XLPE Armoured (approx.)</t>
  </si>
  <si>
    <t>3.5C x 16 Cu XLPE Unarmoured (approx.)</t>
  </si>
  <si>
    <t>3.5C x 25 Cu XLPE Armoured (approx.)</t>
  </si>
  <si>
    <t>3.5C x 25 Cu XLPE Unarmoured (approx.)</t>
  </si>
  <si>
    <t>3.5C x 35 Cu XLPE Armoured (approx.)</t>
  </si>
  <si>
    <t>3.5C x 35 Cu XLPE Unarmoured (approx.)</t>
  </si>
  <si>
    <t>3.5C x 50 Cu XLPE Armoured (approx.)</t>
  </si>
  <si>
    <t>3.5C x 50 Cu XLPE Unarmoured (approx.)</t>
  </si>
  <si>
    <t>3.5C x 70 Cu XLPE Armoured (approx.)</t>
  </si>
  <si>
    <t>3.5C x 70 Cu XLPE Unarmoured (approx.)</t>
  </si>
  <si>
    <t>3.5C x 95 Cu XLPE Armoured (approx.)</t>
  </si>
  <si>
    <t>3.5C x 95 Cu XLPE Unarmoured (approx.)</t>
  </si>
  <si>
    <t>3.5C x 120 Cu XLPE Armoured (approx.)</t>
  </si>
  <si>
    <t>3.5C x 120 Cu XLPE Unarmoured (approx.)</t>
  </si>
  <si>
    <t>3.5C x 150 Cu XLPE Armoured (approx.)</t>
  </si>
  <si>
    <t>3.5C x 150 Cu XLPE Unarmoured (approx.)</t>
  </si>
  <si>
    <t>3.5C x 185 Cu XLPE Armoured (approx.)</t>
  </si>
  <si>
    <t>3.5C x 185 Cu XLPE Unarmoured (approx.)</t>
  </si>
  <si>
    <t>3.5C x 240 Cu XLPE Armoured (approx.)</t>
  </si>
  <si>
    <t>3.5C x 240 Cu XLPE Unarmoured (approx.)</t>
  </si>
  <si>
    <t>3.5C x 300 Cu XLPE Armoured (approx.)</t>
  </si>
  <si>
    <t>3.5C x 300 Cu XLPE Unarmoured (approx.)</t>
  </si>
  <si>
    <t>3.5C x 400 Cu XLPE Armoured (approx.)</t>
  </si>
  <si>
    <t>3.5C x 400 Cu XLPE Unarmoured (approx.)</t>
  </si>
  <si>
    <t>4C x 16 Cu XLPE Armoured (approx.)</t>
  </si>
  <si>
    <t>4C x 16 Cu XLPE Unarmoured (approx.)</t>
  </si>
  <si>
    <t>4C x 25 Cu XLPE Armoured (approx.)</t>
  </si>
  <si>
    <t>4C x 25 Cu XLPE Unarmoured (approx.)</t>
  </si>
  <si>
    <t>4C x 35 Cu XLPE Armoured (approx.)</t>
  </si>
  <si>
    <t>4C x 35 Cu XLPE Unarmoured (approx.)</t>
  </si>
  <si>
    <t>4C x 50 Cu XLPE Armoured (approx.)</t>
  </si>
  <si>
    <t>4C x 50 Cu XLPE Unarmoured (approx.)</t>
  </si>
  <si>
    <t>4C x 70 Cu XLPE Armoured (approx.)</t>
  </si>
  <si>
    <t>4C x 70 Cu XLPE Unarmoured (approx.)</t>
  </si>
  <si>
    <t>4C x 95 Cu XLPE Armoured (approx.)</t>
  </si>
  <si>
    <t>4C x 95 Cu XLPE Unarmoured (approx.)</t>
  </si>
  <si>
    <t>4C x 120 Cu XLPE Armoured (approx.)</t>
  </si>
  <si>
    <t>4C x 120 Cu XLPE Unarmoured (approx.)</t>
  </si>
  <si>
    <t>4C x 150 Cu XLPE Armoured (approx.)</t>
  </si>
  <si>
    <t>4C x 150 Cu XLPE Unarmoured (approx.)</t>
  </si>
  <si>
    <t>4C x 185 Cu XLPE Armoured (approx.)</t>
  </si>
  <si>
    <t>4C x 185 Cu XLPE Unarmoured (approx.)</t>
  </si>
  <si>
    <t>4C x 240 Cu XLPE Armoured (approx.)</t>
  </si>
  <si>
    <t>4C x 240 Cu XLPE Unarmoured (approx.)</t>
  </si>
  <si>
    <t>4C x 300 Cu XLPE Armoured (approx.)</t>
  </si>
  <si>
    <t>4C x 300 Cu XLPE Unarmoured (approx.)</t>
  </si>
  <si>
    <t>4C x 400 Cu XLPE Armoured (approx.)</t>
  </si>
  <si>
    <t>4C x 400 Cu XLPE Unarmoured (approx.)</t>
  </si>
  <si>
    <t>OS-DORAEN VOLUME 3 — FORMULA &amp; LOGIC GUIDE</t>
  </si>
  <si>
    <t>1. FLC</t>
  </si>
  <si>
    <t>I = P×1000 / (√3×V×PF×η)</t>
  </si>
  <si>
    <t>Motor full-load current.</t>
  </si>
  <si>
    <t>2. Derated capacity</t>
  </si>
  <si>
    <t>I_z = Runs × Derating Factor × Cable Ampacity</t>
  </si>
  <si>
    <t>Continuous current check.</t>
  </si>
  <si>
    <t>3. Starting current</t>
  </si>
  <si>
    <t>I_start = Starting Multiplier × FLC</t>
  </si>
  <si>
    <t>Starting multiplier is a design input.</t>
  </si>
  <si>
    <t>4. Starting VD</t>
  </si>
  <si>
    <t>R/X method when R and X are available; otherwise VD reference</t>
  </si>
  <si>
    <t>Compared with OS-DORAEN B6.</t>
  </si>
  <si>
    <t>5. Running VD</t>
  </si>
  <si>
    <t>Compared with OS-DORAEN B5.</t>
  </si>
  <si>
    <t>6. Transformer SC</t>
  </si>
  <si>
    <t>I_sc = S×1000 / [√3×V×(Z%/100)]</t>
  </si>
  <si>
    <t>Prospective 3-phase fault current at LV terminals.</t>
  </si>
  <si>
    <t>7. Cable SC</t>
  </si>
  <si>
    <t>I_cable = k×S/√t</t>
  </si>
  <si>
    <t>S = total area of parallel runs.</t>
  </si>
  <si>
    <t>8. Auto selection</t>
  </si>
  <si>
    <t>Smallest standard cable with all four cable checks PASS</t>
  </si>
  <si>
    <t>No manual cable-size entry.</t>
  </si>
  <si>
    <t>9. MCCB frame</t>
  </si>
  <si>
    <t>Next standard rating ≥ design current</t>
  </si>
  <si>
    <t>Uses Lists!J standard rating table.</t>
  </si>
  <si>
    <t>10. Cable coordination</t>
  </si>
  <si>
    <t>I_b ≤ I_r,target ≤ I_z</t>
  </si>
  <si>
    <t>Actual trip-unit setting availability must be verified.</t>
  </si>
  <si>
    <t>11. CB short-circuit</t>
  </si>
  <si>
    <t>Icu/Ics ≥ prospective SC</t>
  </si>
  <si>
    <t>Icu/Ics is manufacturer/project input.</t>
  </si>
  <si>
    <t>OS-DORAEN — DESIGN &amp; RELEASE NOTES</t>
  </si>
  <si>
    <t>Engineering basis</t>
  </si>
  <si>
    <t>Volume 3 workflow: FLC → starting current → derating → current capacity → starting VD → running VD → short-circuit withstand → final cable selection.</t>
  </si>
  <si>
    <t>Prospective SC is calculated from transformer kVA, LV voltage and transformer nameplate Z%. Existing sample rows retain 4.5% as an editable starting input only.</t>
  </si>
  <si>
    <t>Protection coordination</t>
  </si>
  <si>
    <t>MCCB frame is selected from the standard list. Long-time setting is a target; actual trip-unit setting and instantaneous/magnetic characteristics require manufacturer verification. Icu/Ics is a separate input.</t>
  </si>
  <si>
    <t>Data integrity</t>
  </si>
  <si>
    <t>Cable ampacity, R, X, VD reference, OD and kSC come from Cable Data Master. Verify approved manufacturer/project data before final issue.</t>
  </si>
  <si>
    <t>Product status</t>
  </si>
  <si>
    <t>OS-DORAEN Volume 3 — Automatic Cable Sizing &amp; Protection Review | Release Candidate V1.0</t>
  </si>
  <si>
    <t>Cable Size</t>
  </si>
  <si>
    <t>MCCB Standard Rating (A)</t>
  </si>
  <si>
    <t>Standard MCCB Rating (A)</t>
  </si>
  <si>
    <t>3C / Al / XLPE / Unarmoured</t>
  </si>
  <si>
    <t>3.5C / Al / XLPE / Armoured</t>
  </si>
  <si>
    <t>3.5C / Al / XLPE / Unarmoured</t>
  </si>
  <si>
    <t>4C / Al / XLPE / Unarmoured</t>
  </si>
  <si>
    <t>3C / Cu / XLPE / Armoured</t>
  </si>
  <si>
    <t>3.5C / Cu / XLPE / Armoured</t>
  </si>
  <si>
    <t>3.5C / Cu / XLPE / Unarmoured</t>
  </si>
  <si>
    <t>4C / Cu / XLPE / Armoured</t>
  </si>
  <si>
    <t>4C / Cu / XLPE / Unarmoured</t>
  </si>
  <si>
    <t>Size_mm2</t>
  </si>
  <si>
    <t>Ampacity_A</t>
  </si>
  <si>
    <t>R_ohm_km</t>
  </si>
  <si>
    <t>X_ohm_km</t>
  </si>
  <si>
    <t>k_SC per Volume 3 reference: PVC 115 | XLPE 143 | EPR 134. Verify applicable standard/project/manufacturer basis.</t>
  </si>
  <si>
    <t>VD Ref (V/A/km)</t>
  </si>
  <si>
    <t>AUTOMATION NOTE</t>
  </si>
  <si>
    <t>CableInsulationList</t>
  </si>
  <si>
    <t>CableArmourList</t>
  </si>
  <si>
    <t>CableSizeList</t>
  </si>
  <si>
    <t>Columns K:M are synchronized references used by OS-DORAEN/Bulk Calculator. Verify approved manufacturer/project data before final design use.</t>
  </si>
  <si>
    <t>Verify approved manufacturer/project data before final issue.</t>
  </si>
  <si>
    <t>Bulk Row</t>
  </si>
  <si>
    <t>Candidate Size mm²</t>
  </si>
  <si>
    <t>Ampacity A</t>
  </si>
  <si>
    <t>VD Ref V/A/km</t>
  </si>
  <si>
    <t>k_SC</t>
  </si>
  <si>
    <t>Current Pass</t>
  </si>
  <si>
    <t>SC Withstand kA</t>
  </si>
  <si>
    <t>SC Pass</t>
  </si>
  <si>
    <t>ALL CHECKS PASS</t>
  </si>
  <si>
    <t>VD Method</t>
  </si>
  <si>
    <t>OS-DORAEN 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</si>
</sst>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37" x14ac:knownFonts="1">
    <font>
      <sz val="11"/>
      <color theme="1"/>
      <name val="Calibri"/>
      <family val="2"/>
      <charset val="1"/>
    </font>
    <font>
      <b/>
      <sz val="16"/>
      <color rgb="FFFFFFFF"/>
      <name val="Cambria"/>
      <family val="1"/>
    </font>
    <font>
      <b/>
      <sz val="11"/>
      <color rgb="FFFFFFFF"/>
      <name val="Cambria"/>
      <family val="1"/>
    </font>
    <font>
      <sz val="18"/>
      <color theme="1"/>
      <name val="Calibri"/>
      <family val="2"/>
      <charset val="1"/>
    </font>
    <font>
      <b/>
      <sz val="10"/>
      <color rgb="FFFFFFFF"/>
      <name val="Cambria"/>
      <family val="1"/>
    </font>
    <font>
      <b/>
      <sz val="18"/>
      <color theme="1"/>
      <name val="Calibri"/>
      <family val="2"/>
      <charset val="1"/>
    </font>
    <font>
      <b/>
      <sz val="11"/>
      <name val="Calibri"/>
      <family val="2"/>
    </font>
    <font>
      <b/>
      <sz val="11"/>
      <color rgb="FFFFFFFF"/>
      <name val="Cambria"/>
      <family val="1"/>
    </font>
    <font>
      <b/>
      <sz val="12"/>
      <color theme="1"/>
      <name val="Calibri"/>
      <family val="2"/>
    </font>
    <font>
      <sz val="12"/>
      <color theme="1"/>
      <name val="Calibri"/>
      <family val="2"/>
      <charset val="1"/>
    </font>
    <font>
      <b/>
      <sz val="12"/>
      <color rgb="FFFFFFFF"/>
      <name val="Cambria"/>
      <family val="1"/>
    </font>
    <font>
      <b/>
      <sz val="9"/>
      <color rgb="FFFFFFFF"/>
      <name val="Calibri"/>
      <family val="2"/>
    </font>
    <font>
      <sz val="9"/>
      <color theme="1"/>
      <name val="Calibri"/>
      <family val="2"/>
      <charset val="1"/>
    </font>
    <font>
      <b/>
      <sz val="9"/>
      <color rgb="FFFFFFFF"/>
      <name val="Cambria"/>
      <family val="1"/>
    </font>
    <font>
      <b/>
      <sz val="9"/>
      <color rgb="FF0B132B"/>
      <name val="Cambria"/>
      <family val="1"/>
    </font>
    <font>
      <b/>
      <sz val="9"/>
      <name val="Calibri"/>
      <family val="2"/>
    </font>
    <font>
      <b/>
      <sz val="11"/>
      <color rgb="FFFFFFFF"/>
      <name val="Calibri"/>
      <family val="2"/>
    </font>
    <font>
      <b/>
      <sz val="18"/>
      <color rgb="FFFFFFFF"/>
      <name val="Calibri"/>
      <family val="2"/>
    </font>
    <font>
      <sz val="18"/>
      <color theme="1"/>
      <name val="Calibri"/>
      <family val="2"/>
    </font>
    <font>
      <sz val="14"/>
      <color theme="1"/>
      <name val="Calibri"/>
      <family val="2"/>
      <charset val="1"/>
    </font>
    <font>
      <b/>
      <sz val="14"/>
      <color rgb="FFFFFFFF"/>
      <name val="Cambria"/>
      <family val="1"/>
    </font>
    <font>
      <b/>
      <sz val="11"/>
      <color theme="1"/>
      <name val="Calibri"/>
      <family val="2"/>
    </font>
    <font>
      <sz val="16"/>
      <color theme="1"/>
      <name val="Calibri"/>
      <family val="2"/>
      <charset val="1"/>
    </font>
    <font>
      <b/>
      <sz val="16"/>
      <color rgb="FF006100"/>
      <name val="Cambria"/>
      <family val="1"/>
    </font>
    <font>
      <b/>
      <sz val="16"/>
      <color theme="1"/>
      <name val="Calibri"/>
      <family val="2"/>
      <charset val="1"/>
    </font>
    <font>
      <b/>
      <sz val="16"/>
      <color theme="0"/>
      <name val="Cambria"/>
      <family val="1"/>
    </font>
    <font>
      <b/>
      <sz val="16"/>
      <color theme="1"/>
      <name val="Calibri"/>
      <family val="2"/>
    </font>
    <font>
      <b/>
      <sz val="28"/>
      <color rgb="FFFFFFFF"/>
      <name val="Aptos Display"/>
    </font>
    <font>
      <b/>
      <sz val="11"/>
      <color rgb="FF00A6A6"/>
      <name val="Aptos"/>
    </font>
    <font>
      <b/>
      <sz val="20"/>
      <color rgb="FF17324D"/>
      <name val="Aptos Display"/>
    </font>
    <font>
      <i/>
      <sz val="10"/>
      <color rgb="FF64748B"/>
      <name val="Aptos"/>
    </font>
    <font>
      <b/>
      <sz val="11"/>
      <color rgb="FFFFFFFF"/>
      <name val="Aptos"/>
    </font>
    <font>
      <b/>
      <sz val="10"/>
      <color rgb="FF17324D"/>
      <name val="Aptos"/>
    </font>
    <font>
      <sz val="10"/>
      <color rgb="FF1F2937"/>
      <name val="Aptos"/>
    </font>
    <font>
      <b/>
      <u/>
      <sz val="10"/>
      <color rgb="FF00A6A6"/>
      <name val="Aptos"/>
    </font>
    <font>
      <sz val="9"/>
      <color rgb="FF64748B"/>
      <name val="Aptos"/>
    </font>
    <font>
      <sz val="9"/>
      <color rgb="FF1F2937"/>
      <name val="Aptos"/>
    </font>
  </fonts>
  <fills count="21">
    <fill>
      <patternFill patternType="none"/>
    </fill>
    <fill>
      <patternFill patternType="gray125"/>
    </fill>
    <fill>
      <patternFill patternType="solid">
        <fgColor rgb="FF0B132B"/>
        <bgColor rgb="FF151517"/>
      </patternFill>
    </fill>
    <fill>
      <patternFill patternType="solid">
        <fgColor rgb="FFFFF2CC"/>
        <bgColor rgb="FFE2F0D9"/>
      </patternFill>
    </fill>
    <fill>
      <patternFill patternType="solid">
        <fgColor rgb="FF2563EB"/>
        <bgColor rgb="FF0066CC"/>
      </patternFill>
    </fill>
    <fill>
      <patternFill patternType="solid">
        <fgColor theme="0"/>
        <bgColor rgb="FFF9FAFB"/>
      </patternFill>
    </fill>
    <fill>
      <patternFill patternType="solid">
        <fgColor rgb="FFE2F0D9"/>
        <bgColor rgb="FFC6EFCE"/>
      </patternFill>
    </fill>
    <fill>
      <patternFill patternType="solid">
        <fgColor rgb="FFFFF200"/>
        <bgColor rgb="FFFFFF00"/>
      </patternFill>
    </fill>
    <fill>
      <patternFill patternType="solid">
        <fgColor rgb="FF1F4E78"/>
        <bgColor rgb="FF333333"/>
      </patternFill>
    </fill>
    <fill>
      <patternFill patternType="solid">
        <fgColor theme="2" tint="-0.249977111117893"/>
        <bgColor rgb="FFB7B7B7"/>
      </patternFill>
    </fill>
    <fill>
      <patternFill patternType="solid">
        <fgColor rgb="FF4472C4"/>
        <bgColor rgb="FF2563EB"/>
      </patternFill>
    </fill>
    <fill>
      <patternFill patternType="solid">
        <fgColor rgb="FFC00000"/>
        <bgColor rgb="FF800000"/>
      </patternFill>
    </fill>
    <fill>
      <patternFill patternType="solid">
        <fgColor rgb="FF00B050"/>
        <bgColor rgb="FF0066CC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rgb="FFFFFF00"/>
      </patternFill>
    </fill>
    <fill>
      <patternFill patternType="solid">
        <fgColor rgb="FFFF0000"/>
        <bgColor rgb="FFC6EFCE"/>
      </patternFill>
    </fill>
    <fill>
      <patternFill patternType="solid">
        <fgColor rgb="FF17324D"/>
      </patternFill>
    </fill>
    <fill>
      <patternFill patternType="solid">
        <fgColor rgb="FFEAF2F8"/>
      </patternFill>
    </fill>
    <fill>
      <patternFill patternType="solid">
        <fgColor rgb="FFFFF2CC"/>
      </patternFill>
    </fill>
    <fill>
      <patternFill patternType="solid">
        <fgColor rgb="FFE2F4F3"/>
      </patternFill>
    </fill>
    <fill>
      <patternFill patternType="solid">
        <fgColor rgb="FFF2F4F7"/>
      </patternFill>
    </fill>
  </fills>
  <borders count="26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rgb="FFB7B7B7"/>
      </top>
      <bottom style="thin">
        <color indexed="64"/>
      </bottom>
      <diagonal/>
    </border>
    <border>
      <left/>
      <right style="thin">
        <color rgb="FFB7B7B7"/>
      </right>
      <top style="thin">
        <color rgb="FFB7B7B7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indexed="64"/>
      </bottom>
      <diagonal/>
    </border>
    <border>
      <left style="thin">
        <color rgb="FFB8C7D1"/>
      </left>
      <right style="thin">
        <color rgb="FFB8C7D1"/>
      </right>
      <top style="thin">
        <color rgb="FFB8C7D1"/>
      </top>
      <bottom style="thin">
        <color rgb="FFB8C7D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4" borderId="0" xfId="0" applyFont="1" applyFill="1" applyAlignment="1">
      <alignment horizontal="center" wrapText="1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0" xfId="0" applyFont="1"/>
    <xf numFmtId="0" fontId="0" fillId="0" borderId="2" xfId="0" applyBorder="1"/>
    <xf numFmtId="0" fontId="8" fillId="0" borderId="2" xfId="0" applyFont="1" applyBorder="1"/>
    <xf numFmtId="0" fontId="9" fillId="0" borderId="2" xfId="0" applyFont="1" applyBorder="1"/>
    <xf numFmtId="0" fontId="9" fillId="0" borderId="0" xfId="0" applyFont="1"/>
    <xf numFmtId="0" fontId="8" fillId="3" borderId="2" xfId="0" applyFont="1" applyFill="1" applyBorder="1"/>
    <xf numFmtId="0" fontId="10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2" fontId="9" fillId="0" borderId="2" xfId="0" applyNumberFormat="1" applyFont="1" applyBorder="1"/>
    <xf numFmtId="0" fontId="3" fillId="0" borderId="3" xfId="0" applyFont="1" applyBorder="1" applyAlignment="1">
      <alignment vertical="center" wrapText="1"/>
    </xf>
    <xf numFmtId="0" fontId="10" fillId="12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12" fillId="0" borderId="0" xfId="0" applyFont="1"/>
    <xf numFmtId="0" fontId="13" fillId="4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top" wrapText="1"/>
    </xf>
    <xf numFmtId="0" fontId="13" fillId="4" borderId="2" xfId="0" applyFont="1" applyFill="1" applyBorder="1"/>
    <xf numFmtId="0" fontId="14" fillId="0" borderId="2" xfId="0" applyFont="1" applyBorder="1"/>
    <xf numFmtId="0" fontId="15" fillId="0" borderId="0" xfId="0" applyFont="1"/>
    <xf numFmtId="0" fontId="12" fillId="0" borderId="0" xfId="0" applyFont="1" applyAlignment="1">
      <alignment vertical="top" wrapText="1"/>
    </xf>
    <xf numFmtId="0" fontId="0" fillId="0" borderId="8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9" borderId="2" xfId="0" applyFill="1" applyBorder="1" applyAlignment="1">
      <alignment vertical="center" wrapText="1"/>
    </xf>
    <xf numFmtId="0" fontId="0" fillId="6" borderId="2" xfId="0" applyFill="1" applyBorder="1" applyAlignment="1">
      <alignment vertical="center" wrapText="1"/>
    </xf>
    <xf numFmtId="0" fontId="16" fillId="8" borderId="8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6" borderId="11" xfId="0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7" fillId="10" borderId="5" xfId="0" applyFont="1" applyFill="1" applyBorder="1" applyAlignment="1">
      <alignment vertical="center"/>
    </xf>
    <xf numFmtId="0" fontId="17" fillId="10" borderId="6" xfId="0" applyFont="1" applyFill="1" applyBorder="1" applyAlignment="1">
      <alignment vertical="center"/>
    </xf>
    <xf numFmtId="0" fontId="17" fillId="11" borderId="7" xfId="0" applyFont="1" applyFill="1" applyBorder="1" applyAlignment="1">
      <alignment vertical="center"/>
    </xf>
    <xf numFmtId="0" fontId="18" fillId="0" borderId="0" xfId="0" applyFont="1"/>
    <xf numFmtId="0" fontId="19" fillId="0" borderId="8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2" xfId="0" applyFont="1" applyBorder="1" applyAlignment="1">
      <alignment horizontal="center"/>
    </xf>
    <xf numFmtId="0" fontId="19" fillId="0" borderId="9" xfId="0" applyFont="1" applyBorder="1" applyAlignment="1">
      <alignment vertical="center" wrapText="1"/>
    </xf>
    <xf numFmtId="0" fontId="19" fillId="0" borderId="0" xfId="0" applyFont="1"/>
    <xf numFmtId="164" fontId="19" fillId="0" borderId="2" xfId="0" applyNumberFormat="1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164" fontId="19" fillId="0" borderId="11" xfId="0" applyNumberFormat="1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21" fillId="13" borderId="14" xfId="0" applyFont="1" applyFill="1" applyBorder="1" applyAlignment="1">
      <alignment vertical="center" wrapText="1"/>
    </xf>
    <xf numFmtId="0" fontId="21" fillId="13" borderId="15" xfId="0" applyFont="1" applyFill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wrapText="1"/>
    </xf>
    <xf numFmtId="0" fontId="2" fillId="4" borderId="7" xfId="0" applyFont="1" applyFill="1" applyBorder="1" applyAlignment="1">
      <alignment vertical="center" wrapText="1"/>
    </xf>
    <xf numFmtId="0" fontId="22" fillId="6" borderId="2" xfId="0" applyFont="1" applyFill="1" applyBorder="1" applyAlignment="1">
      <alignment vertical="center" wrapText="1"/>
    </xf>
    <xf numFmtId="0" fontId="22" fillId="7" borderId="2" xfId="0" applyFont="1" applyFill="1" applyBorder="1" applyAlignment="1">
      <alignment vertical="center" wrapText="1"/>
    </xf>
    <xf numFmtId="0" fontId="22" fillId="7" borderId="2" xfId="0" applyFont="1" applyFill="1" applyBorder="1" applyAlignment="1">
      <alignment horizontal="right" vertical="center" wrapText="1"/>
    </xf>
    <xf numFmtId="0" fontId="23" fillId="6" borderId="2" xfId="0" applyFont="1" applyFill="1" applyBorder="1" applyAlignment="1">
      <alignment vertical="center" wrapText="1"/>
    </xf>
    <xf numFmtId="0" fontId="24" fillId="7" borderId="2" xfId="0" applyFont="1" applyFill="1" applyBorder="1" applyAlignment="1">
      <alignment vertical="center" wrapText="1"/>
    </xf>
    <xf numFmtId="0" fontId="24" fillId="6" borderId="2" xfId="0" applyFont="1" applyFill="1" applyBorder="1" applyAlignment="1">
      <alignment vertical="center" wrapText="1"/>
    </xf>
    <xf numFmtId="2" fontId="22" fillId="6" borderId="2" xfId="0" applyNumberFormat="1" applyFont="1" applyFill="1" applyBorder="1" applyAlignment="1">
      <alignment vertical="center" wrapText="1"/>
    </xf>
    <xf numFmtId="165" fontId="22" fillId="6" borderId="2" xfId="0" applyNumberFormat="1" applyFont="1" applyFill="1" applyBorder="1" applyAlignment="1">
      <alignment vertical="center" wrapText="1"/>
    </xf>
    <xf numFmtId="165" fontId="22" fillId="7" borderId="2" xfId="0" applyNumberFormat="1" applyFont="1" applyFill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2" fillId="3" borderId="2" xfId="0" applyFont="1" applyFill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0" fontId="22" fillId="5" borderId="2" xfId="0" applyFont="1" applyFill="1" applyBorder="1" applyAlignment="1">
      <alignment vertical="center"/>
    </xf>
    <xf numFmtId="0" fontId="22" fillId="5" borderId="0" xfId="0" applyFont="1" applyFill="1" applyAlignment="1">
      <alignment vertical="center"/>
    </xf>
    <xf numFmtId="164" fontId="0" fillId="0" borderId="2" xfId="0" applyNumberFormat="1" applyBorder="1" applyAlignment="1">
      <alignment vertical="center" wrapText="1"/>
    </xf>
    <xf numFmtId="166" fontId="0" fillId="0" borderId="2" xfId="0" applyNumberFormat="1" applyBorder="1" applyAlignment="1">
      <alignment vertical="center" wrapText="1"/>
    </xf>
    <xf numFmtId="164" fontId="0" fillId="0" borderId="11" xfId="0" applyNumberFormat="1" applyBorder="1" applyAlignment="1">
      <alignment vertical="center" wrapText="1"/>
    </xf>
    <xf numFmtId="166" fontId="0" fillId="0" borderId="11" xfId="0" applyNumberFormat="1" applyBorder="1" applyAlignment="1">
      <alignment vertical="center" wrapText="1"/>
    </xf>
    <xf numFmtId="0" fontId="22" fillId="14" borderId="2" xfId="0" applyFont="1" applyFill="1" applyBorder="1" applyAlignment="1">
      <alignment horizontal="right" vertical="center" wrapText="1"/>
    </xf>
    <xf numFmtId="0" fontId="22" fillId="14" borderId="2" xfId="0" applyFont="1" applyFill="1" applyBorder="1" applyAlignment="1">
      <alignment vertical="center" wrapText="1"/>
    </xf>
    <xf numFmtId="0" fontId="22" fillId="15" borderId="2" xfId="0" applyFont="1" applyFill="1" applyBorder="1" applyAlignment="1">
      <alignment vertical="center" wrapText="1"/>
    </xf>
    <xf numFmtId="0" fontId="26" fillId="7" borderId="2" xfId="0" applyFont="1" applyFill="1" applyBorder="1" applyAlignment="1">
      <alignment vertical="center" wrapText="1"/>
    </xf>
    <xf numFmtId="0" fontId="32" fillId="17" borderId="25" xfId="0" applyFont="1" applyFill="1" applyBorder="1" applyAlignment="1">
      <alignment vertical="center" wrapText="1"/>
    </xf>
    <xf numFmtId="0" fontId="33" fillId="18" borderId="25" xfId="0" applyFont="1" applyFill="1" applyBorder="1" applyAlignment="1">
      <alignment vertical="center" wrapText="1"/>
    </xf>
    <xf numFmtId="0" fontId="0" fillId="0" borderId="25" xfId="0" applyBorder="1"/>
    <xf numFmtId="0" fontId="34" fillId="19" borderId="25" xfId="0" applyFont="1" applyFill="1" applyBorder="1" applyAlignment="1">
      <alignment vertical="center" wrapText="1"/>
    </xf>
    <xf numFmtId="0" fontId="35" fillId="20" borderId="25" xfId="0" applyFont="1" applyFill="1" applyBorder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0" fillId="0" borderId="0" xfId="0"/>
    <xf numFmtId="0" fontId="27" fillId="16" borderId="0" xfId="0" applyFont="1" applyFill="1" applyAlignment="1">
      <alignment horizontal="left" vertical="center" indent="1"/>
    </xf>
    <xf numFmtId="0" fontId="0" fillId="16" borderId="0" xfId="0" applyFill="1"/>
    <xf numFmtId="0" fontId="31" fillId="16" borderId="0" xfId="0" applyFont="1" applyFill="1" applyAlignment="1">
      <alignment horizontal="left" vertical="center" indent="1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36" fillId="20" borderId="25" xfId="0" applyFont="1" applyFill="1" applyBorder="1" applyAlignment="1">
      <alignment vertical="top" wrapText="1"/>
    </xf>
    <xf numFmtId="0" fontId="0" fillId="20" borderId="25" xfId="0" applyFill="1" applyBorder="1"/>
    <xf numFmtId="0" fontId="30" fillId="0" borderId="0" xfId="0" applyFont="1" applyAlignment="1">
      <alignment vertical="center" wrapText="1"/>
    </xf>
    <xf numFmtId="0" fontId="7" fillId="2" borderId="2" xfId="0" applyFont="1" applyFill="1" applyBorder="1"/>
    <xf numFmtId="0" fontId="0" fillId="0" borderId="17" xfId="0" applyBorder="1"/>
    <xf numFmtId="0" fontId="0" fillId="0" borderId="18" xfId="0" applyBorder="1"/>
    <xf numFmtId="0" fontId="1" fillId="2" borderId="2" xfId="0" applyFont="1" applyFill="1" applyBorder="1"/>
    <xf numFmtId="0" fontId="11" fillId="8" borderId="2" xfId="0" applyFont="1" applyFill="1" applyBorder="1" applyAlignment="1">
      <alignment vertical="center" wrapText="1"/>
    </xf>
    <xf numFmtId="0" fontId="7" fillId="8" borderId="5" xfId="0" applyFont="1" applyFill="1" applyBorder="1" applyAlignment="1">
      <alignment vertical="center" wrapText="1"/>
    </xf>
    <xf numFmtId="0" fontId="0" fillId="0" borderId="20" xfId="0" applyBorder="1"/>
    <xf numFmtId="0" fontId="0" fillId="0" borderId="21" xfId="0" applyBorder="1"/>
    <xf numFmtId="0" fontId="7" fillId="8" borderId="8" xfId="0" applyFont="1" applyFill="1" applyBorder="1" applyAlignment="1">
      <alignment vertical="center" wrapText="1"/>
    </xf>
    <xf numFmtId="0" fontId="20" fillId="8" borderId="5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24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al" xfId="0" builtinId="0"/>
  </cellStyles>
  <dxfs count="24"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4CCCC"/>
        </patternFill>
      </fill>
    </dxf>
    <dxf>
      <fill>
        <patternFill>
          <bgColor rgb="FFE2F0D9"/>
        </patternFill>
      </fill>
    </dxf>
    <dxf>
      <fill>
        <patternFill>
          <bgColor rgb="FFF4CCCC"/>
        </patternFill>
      </fill>
    </dxf>
    <dxf>
      <fill>
        <patternFill>
          <bgColor rgb="FFE2F0D9"/>
        </patternFill>
      </fill>
    </dxf>
    <dxf>
      <fill>
        <patternFill>
          <bgColor rgb="FFF4CCCC"/>
        </patternFill>
      </fill>
    </dxf>
    <dxf>
      <fill>
        <patternFill>
          <bgColor rgb="FFE2F0D9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4CCCC"/>
        </patternFill>
      </fill>
    </dxf>
    <dxf>
      <fill>
        <patternFill>
          <bgColor rgb="FFE2F0D9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2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E2F0D9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AFB"/>
      <rgbColor rgb="FFC6EFCE"/>
      <rgbColor rgb="FFFFFF99"/>
      <rgbColor rgb="FF99CCFF"/>
      <rgbColor rgb="FFFFC7CE"/>
      <rgbColor rgb="FFCC99FF"/>
      <rgbColor rgb="FFF4CCCC"/>
      <rgbColor rgb="FF2563EB"/>
      <rgbColor rgb="FF33CCCC"/>
      <rgbColor rgb="FF99CC00"/>
      <rgbColor rgb="FFFFCC00"/>
      <rgbColor rgb="FFFF9900"/>
      <rgbColor rgb="FFFF6600"/>
      <rgbColor rgb="FF4472C4"/>
      <rgbColor rgb="FFC4BD97"/>
      <rgbColor rgb="FF0B132B"/>
      <rgbColor rgb="FF339966"/>
      <rgbColor rgb="FF151517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9"/>
  <sheetViews>
    <sheetView showGridLines="0" tabSelected="1" view="pageBreakPreview" zoomScaleNormal="90" zoomScaleSheetLayoutView="100" workbookViewId="0">
      <pane ySplit="5" topLeftCell="A13" activePane="bottomLeft" state="frozen"/>
      <selection pane="bottomLeft" activeCell="C18" sqref="C18"/>
    </sheetView>
  </sheetViews>
  <sheetFormatPr defaultRowHeight="14.5" x14ac:dyDescent="0.35"/>
  <cols>
    <col min="1" max="1" width="4" customWidth="1"/>
    <col min="2" max="3" width="25" customWidth="1"/>
    <col min="4" max="4" width="5" customWidth="1"/>
    <col min="5" max="6" width="25" customWidth="1"/>
    <col min="7" max="7" width="4" customWidth="1"/>
  </cols>
  <sheetData>
    <row r="1" spans="2:6" ht="12" customHeight="1" x14ac:dyDescent="0.35"/>
    <row r="2" spans="2:6" ht="42" customHeight="1" x14ac:dyDescent="0.35">
      <c r="B2" s="103" t="s">
        <v>483</v>
      </c>
      <c r="C2" s="104"/>
      <c r="D2" s="104"/>
      <c r="E2" s="104"/>
      <c r="F2" s="104"/>
    </row>
    <row r="3" spans="2:6" ht="27" customHeight="1" x14ac:dyDescent="0.35">
      <c r="B3" s="106" t="s">
        <v>0</v>
      </c>
      <c r="C3" s="102"/>
      <c r="D3" s="102"/>
      <c r="E3" s="102"/>
      <c r="F3" s="102"/>
    </row>
    <row r="4" spans="2:6" ht="23" customHeight="1" x14ac:dyDescent="0.35"/>
    <row r="5" spans="2:6" ht="34" customHeight="1" x14ac:dyDescent="0.35">
      <c r="B5" s="107" t="s">
        <v>1</v>
      </c>
      <c r="C5" s="102"/>
      <c r="D5" s="102"/>
      <c r="E5" s="102"/>
      <c r="F5" s="102"/>
    </row>
    <row r="6" spans="2:6" ht="27" customHeight="1" x14ac:dyDescent="0.35">
      <c r="B6" s="101" t="s">
        <v>2</v>
      </c>
      <c r="C6" s="102"/>
      <c r="D6" s="102"/>
      <c r="E6" s="102"/>
      <c r="F6" s="102"/>
    </row>
    <row r="7" spans="2:6" ht="23" customHeight="1" x14ac:dyDescent="0.35"/>
    <row r="8" spans="2:6" ht="25" customHeight="1" x14ac:dyDescent="0.35">
      <c r="B8" s="105" t="s">
        <v>3</v>
      </c>
      <c r="C8" s="104"/>
      <c r="D8" s="104"/>
      <c r="E8" s="104"/>
      <c r="F8" s="104"/>
    </row>
    <row r="9" spans="2:6" ht="30" customHeight="1" x14ac:dyDescent="0.35">
      <c r="B9" s="96" t="s">
        <v>4</v>
      </c>
      <c r="C9" s="97" t="s">
        <v>5</v>
      </c>
      <c r="D9" s="98"/>
      <c r="E9" s="96" t="s">
        <v>6</v>
      </c>
      <c r="F9" s="97" t="s">
        <v>7</v>
      </c>
    </row>
    <row r="10" spans="2:6" ht="30" customHeight="1" x14ac:dyDescent="0.35">
      <c r="B10" s="96" t="s">
        <v>8</v>
      </c>
      <c r="C10" s="97" t="s">
        <v>9</v>
      </c>
      <c r="D10" s="98"/>
      <c r="E10" s="96" t="s">
        <v>10</v>
      </c>
      <c r="F10" s="97" t="s">
        <v>11</v>
      </c>
    </row>
    <row r="11" spans="2:6" ht="30" customHeight="1" x14ac:dyDescent="0.35">
      <c r="B11" s="96" t="s">
        <v>12</v>
      </c>
      <c r="C11" s="97" t="s">
        <v>13</v>
      </c>
      <c r="D11" s="98"/>
      <c r="E11" s="96" t="s">
        <v>14</v>
      </c>
      <c r="F11" s="97" t="s">
        <v>15</v>
      </c>
    </row>
    <row r="12" spans="2:6" ht="30" customHeight="1" x14ac:dyDescent="0.35">
      <c r="B12" s="96" t="s">
        <v>16</v>
      </c>
      <c r="C12" s="97" t="s">
        <v>17</v>
      </c>
      <c r="D12" s="98"/>
      <c r="E12" s="96" t="s">
        <v>18</v>
      </c>
      <c r="F12" s="97" t="s">
        <v>19</v>
      </c>
    </row>
    <row r="13" spans="2:6" ht="30" customHeight="1" x14ac:dyDescent="0.35">
      <c r="B13" s="96" t="s">
        <v>20</v>
      </c>
      <c r="C13" s="97" t="s">
        <v>21</v>
      </c>
      <c r="D13" s="98"/>
      <c r="E13" s="96" t="s">
        <v>22</v>
      </c>
      <c r="F13" s="97" t="s">
        <v>21</v>
      </c>
    </row>
    <row r="14" spans="2:6" ht="30" customHeight="1" x14ac:dyDescent="0.35">
      <c r="B14" s="96" t="s">
        <v>23</v>
      </c>
      <c r="C14" s="97" t="s">
        <v>21</v>
      </c>
      <c r="D14" s="98"/>
      <c r="E14" s="96" t="s">
        <v>24</v>
      </c>
      <c r="F14" s="97" t="s">
        <v>25</v>
      </c>
    </row>
    <row r="15" spans="2:6" ht="23" customHeight="1" x14ac:dyDescent="0.35"/>
    <row r="16" spans="2:6" ht="25" customHeight="1" x14ac:dyDescent="0.35">
      <c r="B16" s="105" t="s">
        <v>26</v>
      </c>
      <c r="C16" s="104"/>
      <c r="D16" s="104"/>
      <c r="E16" s="104"/>
      <c r="F16" s="104"/>
    </row>
    <row r="17" spans="2:6" ht="23" customHeight="1" x14ac:dyDescent="0.35">
      <c r="B17" s="110" t="s">
        <v>27</v>
      </c>
      <c r="C17" s="102"/>
      <c r="D17" s="102"/>
      <c r="E17" s="102"/>
      <c r="F17" s="102"/>
    </row>
    <row r="18" spans="2:6" ht="27" customHeight="1" x14ac:dyDescent="0.35">
      <c r="B18" s="99" t="s">
        <v>28</v>
      </c>
      <c r="C18" s="100" t="s">
        <v>29</v>
      </c>
      <c r="E18" s="99" t="s">
        <v>30</v>
      </c>
      <c r="F18" s="100" t="s">
        <v>29</v>
      </c>
    </row>
    <row r="19" spans="2:6" ht="27" customHeight="1" x14ac:dyDescent="0.35">
      <c r="B19" s="99" t="s">
        <v>31</v>
      </c>
      <c r="C19" s="100" t="s">
        <v>29</v>
      </c>
      <c r="E19" s="99" t="s">
        <v>32</v>
      </c>
      <c r="F19" s="100" t="s">
        <v>29</v>
      </c>
    </row>
    <row r="20" spans="2:6" ht="27" customHeight="1" x14ac:dyDescent="0.35">
      <c r="B20" s="99" t="s">
        <v>33</v>
      </c>
      <c r="C20" s="100" t="s">
        <v>29</v>
      </c>
      <c r="E20" s="99" t="s">
        <v>34</v>
      </c>
      <c r="F20" s="100" t="s">
        <v>29</v>
      </c>
    </row>
    <row r="21" spans="2:6" ht="27" customHeight="1" x14ac:dyDescent="0.35">
      <c r="B21" s="99" t="s">
        <v>35</v>
      </c>
      <c r="C21" s="100" t="s">
        <v>29</v>
      </c>
      <c r="E21" s="99" t="s">
        <v>36</v>
      </c>
      <c r="F21" s="100" t="s">
        <v>29</v>
      </c>
    </row>
    <row r="22" spans="2:6" ht="27" customHeight="1" x14ac:dyDescent="0.35">
      <c r="B22" s="99" t="s">
        <v>37</v>
      </c>
      <c r="C22" s="100" t="s">
        <v>29</v>
      </c>
      <c r="E22" s="99" t="s">
        <v>38</v>
      </c>
      <c r="F22" s="100" t="s">
        <v>29</v>
      </c>
    </row>
    <row r="23" spans="2:6" ht="27" customHeight="1" x14ac:dyDescent="0.35">
      <c r="B23" s="99" t="s">
        <v>39</v>
      </c>
      <c r="C23" s="100" t="s">
        <v>29</v>
      </c>
    </row>
    <row r="24" spans="2:6" ht="23" customHeight="1" x14ac:dyDescent="0.35"/>
    <row r="25" spans="2:6" ht="25" customHeight="1" x14ac:dyDescent="0.35">
      <c r="B25" s="105" t="s">
        <v>40</v>
      </c>
      <c r="C25" s="104"/>
      <c r="D25" s="104"/>
      <c r="E25" s="104"/>
      <c r="F25" s="104"/>
    </row>
    <row r="26" spans="2:6" ht="23" customHeight="1" x14ac:dyDescent="0.35">
      <c r="B26" s="108" t="s">
        <v>41</v>
      </c>
      <c r="C26" s="109"/>
      <c r="D26" s="109"/>
      <c r="E26" s="109"/>
      <c r="F26" s="109"/>
    </row>
    <row r="27" spans="2:6" ht="23" customHeight="1" x14ac:dyDescent="0.35">
      <c r="B27" s="109"/>
      <c r="C27" s="109"/>
      <c r="D27" s="109"/>
      <c r="E27" s="109"/>
      <c r="F27" s="109"/>
    </row>
    <row r="28" spans="2:6" ht="23" customHeight="1" x14ac:dyDescent="0.35"/>
    <row r="29" spans="2:6" ht="23" customHeight="1" x14ac:dyDescent="0.35"/>
    <row r="30" spans="2:6" ht="23" customHeight="1" x14ac:dyDescent="0.35"/>
    <row r="31" spans="2:6" ht="23" customHeight="1" x14ac:dyDescent="0.35"/>
    <row r="32" spans="2:6" ht="23" customHeight="1" x14ac:dyDescent="0.35"/>
    <row r="33" ht="23" customHeight="1" x14ac:dyDescent="0.35"/>
    <row r="34" ht="23" customHeight="1" x14ac:dyDescent="0.35"/>
    <row r="35" ht="23" customHeight="1" x14ac:dyDescent="0.35"/>
    <row r="36" ht="23" customHeight="1" x14ac:dyDescent="0.35"/>
    <row r="37" ht="23" customHeight="1" x14ac:dyDescent="0.35"/>
    <row r="38" ht="23" customHeight="1" x14ac:dyDescent="0.35"/>
    <row r="39" ht="23" customHeight="1" x14ac:dyDescent="0.35"/>
  </sheetData>
  <mergeCells count="9">
    <mergeCell ref="B26:F27"/>
    <mergeCell ref="B8:F8"/>
    <mergeCell ref="B17:F17"/>
    <mergeCell ref="B6:F6"/>
    <mergeCell ref="B2:F2"/>
    <mergeCell ref="B16:F16"/>
    <mergeCell ref="B25:F25"/>
    <mergeCell ref="B3:F3"/>
    <mergeCell ref="B5:F5"/>
  </mergeCells>
  <hyperlinks>
    <hyperlink ref="B18" location="'OS-DORAEN'!A1" display="OS-DORAEN" xr:uid="{00000000-0004-0000-0000-000000000000}"/>
    <hyperlink ref="E18" location="'Bulk Calculator'!A1" display="Bulk Calculator" xr:uid="{00000000-0004-0000-0000-000001000000}"/>
    <hyperlink ref="B19" location="'Bulk Instructions'!A1" display="Bulk Instructions" xr:uid="{00000000-0004-0000-0000-000002000000}"/>
    <hyperlink ref="E19" location="' Motor Calculation'!A1" display=" Motor Calculation" xr:uid="{00000000-0004-0000-0000-000003000000}"/>
    <hyperlink ref="B20" location="'Cable Data'!A1" display="Cable Data" xr:uid="{00000000-0004-0000-0000-000004000000}"/>
    <hyperlink ref="E20" location="'Formula Guide'!A1" display="Formula Guide" xr:uid="{00000000-0004-0000-0000-000005000000}"/>
    <hyperlink ref="B21" location="'Design Notes'!A1" display="Design Notes" xr:uid="{00000000-0004-0000-0000-000006000000}"/>
    <hyperlink ref="E21" location="'Lists'!A1" display="Lists" xr:uid="{00000000-0004-0000-0000-000007000000}"/>
    <hyperlink ref="B22" location="'Cable Data Master'!A1" display="Cable Data Master" xr:uid="{00000000-0004-0000-0000-000008000000}"/>
    <hyperlink ref="E22" location="'AUTO ENGINE'!A1" display="AUTO ENGINE" xr:uid="{00000000-0004-0000-0000-000009000000}"/>
    <hyperlink ref="B23" location="'QA Release Notes'!A1" display="QA Release Notes" xr:uid="{00000000-0004-0000-0000-00000A000000}"/>
  </hyperlinks>
  <pageMargins left="0.35" right="0.35" top="0.45" bottom="0.45" header="0.2" footer="0.2"/>
  <pageSetup paperSize="9" scale="91" orientation="portrait" r:id="rId1"/>
  <headerFooter>
    <oddHeader>&amp;C&amp;BOS-Doraen | Electrical Engineering</oddHeader>
    <oddFooter>&amp;CControlled document • Verify latest revision before use&amp;RPage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"/>
  <sheetViews>
    <sheetView showGridLines="0" view="pageBreakPreview" zoomScale="55" zoomScaleNormal="70" zoomScaleSheetLayoutView="55" workbookViewId="0">
      <pane ySplit="13" topLeftCell="A14" activePane="bottomLeft" state="frozen"/>
      <selection pane="bottomLeft" activeCell="B25" sqref="B25"/>
    </sheetView>
  </sheetViews>
  <sheetFormatPr defaultColWidth="8.6328125" defaultRowHeight="15" customHeight="1" x14ac:dyDescent="0.35"/>
  <cols>
    <col min="1" max="1" width="33.453125" customWidth="1"/>
    <col min="2" max="2" width="25.1796875" customWidth="1"/>
    <col min="3" max="3" width="15.90625" bestFit="1" customWidth="1"/>
    <col min="4" max="4" width="22.1796875" bestFit="1" customWidth="1"/>
    <col min="5" max="5" width="11.36328125" bestFit="1" customWidth="1"/>
    <col min="6" max="6" width="29.1796875" bestFit="1" customWidth="1"/>
    <col min="7" max="7" width="25" bestFit="1" customWidth="1"/>
    <col min="8" max="8" width="13.54296875" bestFit="1" customWidth="1"/>
    <col min="9" max="9" width="26.90625" bestFit="1" customWidth="1"/>
    <col min="10" max="10" width="20.08984375" bestFit="1" customWidth="1"/>
    <col min="11" max="12" width="20.81640625" bestFit="1" customWidth="1"/>
    <col min="13" max="13" width="27.36328125" bestFit="1" customWidth="1"/>
  </cols>
  <sheetData>
    <row r="1" spans="1:13" ht="19.5" customHeight="1" x14ac:dyDescent="0.4">
      <c r="A1" s="114" t="s">
        <v>42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3"/>
    </row>
    <row r="2" spans="1:13" ht="15" customHeight="1" x14ac:dyDescent="0.35">
      <c r="A2" s="111" t="s">
        <v>43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3"/>
    </row>
    <row r="3" spans="1:13" ht="15" customHeight="1" x14ac:dyDescent="0.3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3" customFormat="1" ht="15" customHeight="1" x14ac:dyDescent="0.35">
      <c r="A4" s="11" t="s">
        <v>44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s="13" customFormat="1" ht="15" customHeight="1" x14ac:dyDescent="0.35">
      <c r="A5" s="11" t="s">
        <v>45</v>
      </c>
      <c r="B5" s="14">
        <v>2.5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s="13" customFormat="1" ht="15" customHeight="1" x14ac:dyDescent="0.35">
      <c r="A6" s="11" t="s">
        <v>46</v>
      </c>
      <c r="B6" s="14">
        <v>10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s="13" customFormat="1" ht="15" customHeight="1" x14ac:dyDescent="0.35">
      <c r="A7" s="12" t="s">
        <v>47</v>
      </c>
      <c r="B7" s="12" t="s">
        <v>48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s="13" customFormat="1" ht="15" customHeight="1" x14ac:dyDescent="0.35">
      <c r="A8" s="12" t="s">
        <v>49</v>
      </c>
      <c r="B8" s="12" t="s">
        <v>50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3" customFormat="1" ht="15" customHeight="1" x14ac:dyDescent="0.3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s="13" customFormat="1" ht="15" customHeight="1" x14ac:dyDescent="0.35">
      <c r="A10" s="12" t="s">
        <v>51</v>
      </c>
      <c r="B10" s="12" t="s">
        <v>52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s="13" customFormat="1" ht="15" customHeight="1" x14ac:dyDescent="0.3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s="13" customFormat="1" ht="15" customHeight="1" x14ac:dyDescent="0.35">
      <c r="A12" s="12" t="s">
        <v>53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s="16" customFormat="1" ht="27.75" customHeight="1" x14ac:dyDescent="0.35">
      <c r="A13" s="15" t="s">
        <v>54</v>
      </c>
      <c r="B13" s="15" t="s">
        <v>55</v>
      </c>
      <c r="C13" s="15" t="s">
        <v>56</v>
      </c>
      <c r="D13" s="15" t="s">
        <v>57</v>
      </c>
      <c r="E13" s="15" t="s">
        <v>58</v>
      </c>
      <c r="F13" s="15" t="s">
        <v>59</v>
      </c>
      <c r="G13" s="15" t="s">
        <v>60</v>
      </c>
      <c r="H13" s="15" t="s">
        <v>61</v>
      </c>
      <c r="I13" s="15" t="s">
        <v>62</v>
      </c>
      <c r="J13" s="15" t="s">
        <v>63</v>
      </c>
      <c r="K13" s="15" t="s">
        <v>64</v>
      </c>
      <c r="L13" s="15" t="s">
        <v>65</v>
      </c>
      <c r="M13" s="15" t="s">
        <v>66</v>
      </c>
    </row>
    <row r="14" spans="1:13" s="13" customFormat="1" ht="15" customHeight="1" x14ac:dyDescent="0.35">
      <c r="A14" s="17">
        <f>'Bulk Calculator'!A4</f>
        <v>1</v>
      </c>
      <c r="B14" s="12" t="str">
        <f>'Bulk Calculator'!B4</f>
        <v>Motor</v>
      </c>
      <c r="C14" s="12">
        <f>'Bulk Calculator'!E4</f>
        <v>150</v>
      </c>
      <c r="D14" s="12" t="str">
        <f>'Bulk Calculator'!F4</f>
        <v>VFD</v>
      </c>
      <c r="E14" s="12">
        <f>'Bulk Calculator'!J4</f>
        <v>2</v>
      </c>
      <c r="F14" s="12">
        <f>'Bulk Calculator'!G4</f>
        <v>120</v>
      </c>
      <c r="G14" s="12" t="str">
        <f>'Bulk Calculator'!H4</f>
        <v>3C / Al / XLPE / Armoured</v>
      </c>
      <c r="H14" s="12">
        <f>'Bulk Calculator'!U4</f>
        <v>257.34470364905832</v>
      </c>
      <c r="I14" s="12">
        <f>'Bulk Calculator'!Y4</f>
        <v>272.42</v>
      </c>
      <c r="J14" s="18">
        <f>'Bulk Calculator'!AE4</f>
        <v>0.80320887874307523</v>
      </c>
      <c r="K14" s="18">
        <f>'Bulk Calculator'!AJ4</f>
        <v>1.0123373942189036</v>
      </c>
      <c r="L14" s="12" t="str">
        <f>'Bulk Calculator'!AO4</f>
        <v>PASS</v>
      </c>
      <c r="M14" s="12" t="str">
        <f>'Bulk Calculator'!AP4</f>
        <v>SUITABLE</v>
      </c>
    </row>
    <row r="15" spans="1:13" s="13" customFormat="1" ht="15" customHeight="1" x14ac:dyDescent="0.35">
      <c r="A15" s="17">
        <f>'Bulk Calculator'!A5</f>
        <v>2</v>
      </c>
      <c r="B15" s="12" t="str">
        <f>'Bulk Calculator'!B5</f>
        <v>Motor</v>
      </c>
      <c r="C15" s="12">
        <f>'Bulk Calculator'!E5</f>
        <v>11</v>
      </c>
      <c r="D15" s="12" t="str">
        <f>'Bulk Calculator'!F5</f>
        <v>Star-Delta</v>
      </c>
      <c r="E15" s="12">
        <f>'Bulk Calculator'!J5</f>
        <v>2</v>
      </c>
      <c r="F15" s="12">
        <f>'Bulk Calculator'!G5</f>
        <v>25</v>
      </c>
      <c r="G15" s="12" t="str">
        <f>'Bulk Calculator'!H5</f>
        <v>3C / Al / XLPE / Armoured</v>
      </c>
      <c r="H15" s="12">
        <f>'Bulk Calculator'!U5</f>
        <v>18.871944934264274</v>
      </c>
      <c r="I15" s="12">
        <f>'Bulk Calculator'!Y5</f>
        <v>101.76</v>
      </c>
      <c r="J15" s="18">
        <f>'Bulk Calculator'!AE5</f>
        <v>0.19079996749621791</v>
      </c>
      <c r="K15" s="18">
        <f>'Bulk Calculator'!AJ5</f>
        <v>0.31926524041690252</v>
      </c>
      <c r="L15" s="12" t="str">
        <f>'Bulk Calculator'!AO5</f>
        <v>PASS</v>
      </c>
      <c r="M15" s="12" t="str">
        <f>'Bulk Calculator'!AP5</f>
        <v>SUITABLE</v>
      </c>
    </row>
    <row r="16" spans="1:13" s="13" customFormat="1" ht="15" customHeight="1" x14ac:dyDescent="0.35">
      <c r="A16" s="17">
        <f>'Bulk Calculator'!A6</f>
        <v>3</v>
      </c>
      <c r="B16" s="12" t="str">
        <f>'Bulk Calculator'!B6</f>
        <v>Motor</v>
      </c>
      <c r="C16" s="12">
        <f>'Bulk Calculator'!E6</f>
        <v>110</v>
      </c>
      <c r="D16" s="12" t="str">
        <f>'Bulk Calculator'!F6</f>
        <v>Star-Delta</v>
      </c>
      <c r="E16" s="12">
        <f>'Bulk Calculator'!J6</f>
        <v>2</v>
      </c>
      <c r="F16" s="12">
        <f>'Bulk Calculator'!G6</f>
        <v>70</v>
      </c>
      <c r="G16" s="12" t="str">
        <f>'Bulk Calculator'!H6</f>
        <v>3C / Al / XLPE / Armoured</v>
      </c>
      <c r="H16" s="12">
        <f>'Bulk Calculator'!U6</f>
        <v>188.71944934264275</v>
      </c>
      <c r="I16" s="12">
        <f>'Bulk Calculator'!Y6</f>
        <v>189.74</v>
      </c>
      <c r="J16" s="18">
        <f>'Bulk Calculator'!AE6</f>
        <v>0.4316241745555135</v>
      </c>
      <c r="K16" s="18">
        <f>'Bulk Calculator'!AJ6</f>
        <v>0.61732937246849884</v>
      </c>
      <c r="L16" s="12" t="str">
        <f>'Bulk Calculator'!AO6</f>
        <v>PASS</v>
      </c>
      <c r="M16" s="12" t="str">
        <f>'Bulk Calculator'!AP6</f>
        <v>SUITABLE</v>
      </c>
    </row>
    <row r="17" spans="1:13" s="13" customFormat="1" ht="15" customHeight="1" x14ac:dyDescent="0.35">
      <c r="A17" s="17">
        <f>'Bulk Calculator'!A7</f>
        <v>4</v>
      </c>
      <c r="B17" s="12" t="str">
        <f>'Bulk Calculator'!B7</f>
        <v>Motor</v>
      </c>
      <c r="C17" s="12">
        <f>'Bulk Calculator'!E7</f>
        <v>13</v>
      </c>
      <c r="D17" s="12" t="str">
        <f>'Bulk Calculator'!F7</f>
        <v>VFD</v>
      </c>
      <c r="E17" s="12">
        <f>'Bulk Calculator'!J7</f>
        <v>1</v>
      </c>
      <c r="F17" s="12">
        <f>'Bulk Calculator'!G7</f>
        <v>25</v>
      </c>
      <c r="G17" s="12" t="str">
        <f>'Bulk Calculator'!H7</f>
        <v>3C / Al / XLPE / Armoured</v>
      </c>
      <c r="H17" s="12">
        <f>'Bulk Calculator'!U7</f>
        <v>22.303207649585051</v>
      </c>
      <c r="I17" s="12">
        <f>'Bulk Calculator'!Y7</f>
        <v>50.88</v>
      </c>
      <c r="J17" s="18">
        <f>'Bulk Calculator'!AE7</f>
        <v>0.22549087067734847</v>
      </c>
      <c r="K17" s="18">
        <f>'Bulk Calculator'!AJ7</f>
        <v>0.37731346594724835</v>
      </c>
      <c r="L17" s="12" t="str">
        <f>'Bulk Calculator'!AO7</f>
        <v>PASS</v>
      </c>
      <c r="M17" s="12" t="str">
        <f>'Bulk Calculator'!AP7</f>
        <v>SUITABLE</v>
      </c>
    </row>
    <row r="18" spans="1:13" s="13" customFormat="1" ht="15" customHeight="1" x14ac:dyDescent="0.35">
      <c r="A18" s="17">
        <f>'Bulk Calculator'!A8</f>
        <v>5</v>
      </c>
      <c r="B18" s="12" t="str">
        <f>'Bulk Calculator'!B8</f>
        <v>Motor</v>
      </c>
      <c r="C18" s="12">
        <f>'Bulk Calculator'!E8</f>
        <v>55</v>
      </c>
      <c r="D18" s="12" t="str">
        <f>'Bulk Calculator'!F8</f>
        <v>Star-Delta</v>
      </c>
      <c r="E18" s="12">
        <f>'Bulk Calculator'!J8</f>
        <v>2</v>
      </c>
      <c r="F18" s="12">
        <f>'Bulk Calculator'!G8</f>
        <v>50</v>
      </c>
      <c r="G18" s="12" t="str">
        <f>'Bulk Calculator'!H8</f>
        <v>3C / Al / XLPE / Armoured</v>
      </c>
      <c r="H18" s="12">
        <f>'Bulk Calculator'!U8</f>
        <v>94.359724671321374</v>
      </c>
      <c r="I18" s="12">
        <f>'Bulk Calculator'!Y8</f>
        <v>150.52000000000001</v>
      </c>
      <c r="J18" s="18">
        <f>'Bulk Calculator'!AE8</f>
        <v>0.94637400807802818</v>
      </c>
      <c r="K18" s="18">
        <f>'Bulk Calculator'!AJ8</f>
        <v>1.4533759258219303</v>
      </c>
      <c r="L18" s="12" t="str">
        <f>'Bulk Calculator'!AO8</f>
        <v>PASS</v>
      </c>
      <c r="M18" s="12" t="str">
        <f>'Bulk Calculator'!AP8</f>
        <v>SUITABLE</v>
      </c>
    </row>
    <row r="19" spans="1:13" s="13" customFormat="1" ht="15" customHeight="1" x14ac:dyDescent="0.35">
      <c r="A19" s="17">
        <f>'Bulk Calculator'!A9</f>
        <v>6</v>
      </c>
      <c r="B19" s="12" t="str">
        <f>'Bulk Calculator'!B9</f>
        <v>Motor</v>
      </c>
      <c r="C19" s="12">
        <f>'Bulk Calculator'!E9</f>
        <v>70</v>
      </c>
      <c r="D19" s="12" t="str">
        <f>'Bulk Calculator'!F9</f>
        <v>VFD</v>
      </c>
      <c r="E19" s="12">
        <f>'Bulk Calculator'!J9</f>
        <v>2</v>
      </c>
      <c r="F19" s="12">
        <f>'Bulk Calculator'!G9</f>
        <v>35</v>
      </c>
      <c r="G19" s="12" t="str">
        <f>'Bulk Calculator'!H9</f>
        <v>3C / Al / XLPE / Armoured</v>
      </c>
      <c r="H19" s="12">
        <f>'Bulk Calculator'!U9</f>
        <v>120.09419503622721</v>
      </c>
      <c r="I19" s="12">
        <f>'Bulk Calculator'!Y9</f>
        <v>124.02000000000001</v>
      </c>
      <c r="J19" s="18">
        <f>'Bulk Calculator'!AE9</f>
        <v>0.92321927839520546</v>
      </c>
      <c r="K19" s="18">
        <f>'Bulk Calculator'!AJ9</f>
        <v>1.4820923757783095</v>
      </c>
      <c r="L19" s="12" t="str">
        <f>'Bulk Calculator'!AO9</f>
        <v>PASS</v>
      </c>
      <c r="M19" s="12" t="str">
        <f>'Bulk Calculator'!AP9</f>
        <v>SUITABLE</v>
      </c>
    </row>
    <row r="20" spans="1:13" s="13" customFormat="1" ht="15" customHeight="1" x14ac:dyDescent="0.35">
      <c r="A20" s="17">
        <f>'Bulk Calculator'!A10</f>
        <v>7</v>
      </c>
      <c r="B20" s="12" t="str">
        <f>'Bulk Calculator'!B10</f>
        <v>Motor</v>
      </c>
      <c r="C20" s="12">
        <f>'Bulk Calculator'!E10</f>
        <v>110</v>
      </c>
      <c r="D20" s="12" t="str">
        <f>'Bulk Calculator'!F10</f>
        <v>VFD</v>
      </c>
      <c r="E20" s="12">
        <f>'Bulk Calculator'!J10</f>
        <v>1</v>
      </c>
      <c r="F20" s="12">
        <f>'Bulk Calculator'!G10</f>
        <v>240</v>
      </c>
      <c r="G20" s="12" t="str">
        <f>'Bulk Calculator'!H10</f>
        <v>3C / Al / XLPE / Armoured</v>
      </c>
      <c r="H20" s="12">
        <f>'Bulk Calculator'!U10</f>
        <v>188.71944934264275</v>
      </c>
      <c r="I20" s="12">
        <f>'Bulk Calculator'!Y10</f>
        <v>211.47</v>
      </c>
      <c r="J20" s="18">
        <f>'Bulk Calculator'!AE10</f>
        <v>0.83139818518912834</v>
      </c>
      <c r="K20" s="18">
        <f>'Bulk Calculator'!AJ10</f>
        <v>0.8299942268789664</v>
      </c>
      <c r="L20" s="12" t="str">
        <f>'Bulk Calculator'!AO10</f>
        <v>PASS</v>
      </c>
      <c r="M20" s="12" t="str">
        <f>'Bulk Calculator'!AP10</f>
        <v>SUITABLE</v>
      </c>
    </row>
    <row r="21" spans="1:13" s="13" customFormat="1" ht="15" customHeight="1" x14ac:dyDescent="0.35">
      <c r="A21" s="17">
        <f>'Bulk Calculator'!A11</f>
        <v>8</v>
      </c>
      <c r="B21" s="12" t="str">
        <f>'Bulk Calculator'!B11</f>
        <v>Screen</v>
      </c>
      <c r="C21" s="12">
        <f>'Bulk Calculator'!E11</f>
        <v>3.7</v>
      </c>
      <c r="D21" s="12" t="str">
        <f>'Bulk Calculator'!F11</f>
        <v>DOL</v>
      </c>
      <c r="E21" s="12">
        <f>'Bulk Calculator'!J11</f>
        <v>1</v>
      </c>
      <c r="F21" s="12">
        <f>'Bulk Calculator'!G11</f>
        <v>70</v>
      </c>
      <c r="G21" s="12" t="str">
        <f>'Bulk Calculator'!H11</f>
        <v>4C / Al / XLPE / Armoured</v>
      </c>
      <c r="H21" s="12">
        <f>'Bulk Calculator'!U11</f>
        <v>7.6965613506716419</v>
      </c>
      <c r="I21" s="12">
        <f>'Bulk Calculator'!Y11</f>
        <v>91.69</v>
      </c>
      <c r="J21" s="18">
        <f>'Bulk Calculator'!AE11</f>
        <v>7.0411861659642444E-2</v>
      </c>
      <c r="K21" s="18">
        <f>'Bulk Calculator'!AJ11</f>
        <v>9.2698596020481083E-2</v>
      </c>
      <c r="L21" s="12" t="str">
        <f>'Bulk Calculator'!AO11</f>
        <v>PASS</v>
      </c>
      <c r="M21" s="12" t="str">
        <f>'Bulk Calculator'!AP11</f>
        <v>SUITABLE</v>
      </c>
    </row>
    <row r="22" spans="1:13" s="13" customFormat="1" ht="15" customHeight="1" x14ac:dyDescent="0.35">
      <c r="A22" s="17">
        <f>'Bulk Calculator'!A12</f>
        <v>9</v>
      </c>
      <c r="B22" s="12" t="str">
        <f>'Bulk Calculator'!B12</f>
        <v>Dissolved Air Generator</v>
      </c>
      <c r="C22" s="12">
        <f>'Bulk Calculator'!E12</f>
        <v>22</v>
      </c>
      <c r="D22" s="12" t="str">
        <f>'Bulk Calculator'!F12</f>
        <v>Star-Delta</v>
      </c>
      <c r="E22" s="12">
        <f>'Bulk Calculator'!J12</f>
        <v>2</v>
      </c>
      <c r="F22" s="12">
        <f>'Bulk Calculator'!G12</f>
        <v>25</v>
      </c>
      <c r="G22" s="12" t="str">
        <f>'Bulk Calculator'!H12</f>
        <v>3C / Al / XLPE / Armoured</v>
      </c>
      <c r="H22" s="12">
        <f>'Bulk Calculator'!U12</f>
        <v>44.103145563096405</v>
      </c>
      <c r="I22" s="12">
        <f>'Bulk Calculator'!Y12</f>
        <v>101.76</v>
      </c>
      <c r="J22" s="12">
        <f>'Bulk Calculator'!AE12</f>
        <v>7.7102428349569135E-3</v>
      </c>
      <c r="K22" s="12">
        <f>'Bulk Calculator'!AJ12</f>
        <v>1.2222222222222221E-2</v>
      </c>
      <c r="L22" s="12" t="str">
        <f>'Bulk Calculator'!AO12</f>
        <v>PASS</v>
      </c>
      <c r="M22" s="12" t="str">
        <f>'Bulk Calculator'!AP12</f>
        <v>SUITABLE</v>
      </c>
    </row>
    <row r="23" spans="1:13" s="13" customFormat="1" ht="15" customHeight="1" x14ac:dyDescent="0.35">
      <c r="A23" s="17">
        <f>'Bulk Calculator'!A13</f>
        <v>10</v>
      </c>
      <c r="B23" s="12" t="str">
        <f>'Bulk Calculator'!B13</f>
        <v>Air Compressor</v>
      </c>
      <c r="C23" s="12">
        <f>'Bulk Calculator'!E13</f>
        <v>5.5</v>
      </c>
      <c r="D23" s="12" t="str">
        <f>'Bulk Calculator'!F13</f>
        <v>DOL</v>
      </c>
      <c r="E23" s="12">
        <f>'Bulk Calculator'!J13</f>
        <v>1</v>
      </c>
      <c r="F23" s="12">
        <f>'Bulk Calculator'!G13</f>
        <v>25</v>
      </c>
      <c r="G23" s="12" t="str">
        <f>'Bulk Calculator'!H13</f>
        <v>3C / Cu / XLPE / Unarmoured</v>
      </c>
      <c r="H23" s="12">
        <f>'Bulk Calculator'!U13</f>
        <v>12.404009689620864</v>
      </c>
      <c r="I23" s="12">
        <f>'Bulk Calculator'!Y13</f>
        <v>63.6</v>
      </c>
      <c r="J23" s="12">
        <f>'Bulk Calculator'!AE13</f>
        <v>2.8626463602882653E-3</v>
      </c>
      <c r="K23" s="12">
        <f>'Bulk Calculator'!AJ13</f>
        <v>4.253906249999999E-3</v>
      </c>
      <c r="L23" s="12" t="str">
        <f>'Bulk Calculator'!AO13</f>
        <v>PASS</v>
      </c>
      <c r="M23" s="12" t="str">
        <f>'Bulk Calculator'!AP13</f>
        <v>SUITABLE</v>
      </c>
    </row>
    <row r="24" spans="1:13" s="13" customFormat="1" ht="15" customHeight="1" x14ac:dyDescent="0.35">
      <c r="A24" s="17">
        <f>'Bulk Calculator'!A14</f>
        <v>11</v>
      </c>
      <c r="B24" s="12" t="str">
        <f>'Bulk Calculator'!B14</f>
        <v>DAF Rake Mechanism</v>
      </c>
      <c r="C24" s="12">
        <f>'Bulk Calculator'!E14</f>
        <v>1.1000000000000001</v>
      </c>
      <c r="D24" s="12" t="str">
        <f>'Bulk Calculator'!F14</f>
        <v>VFD</v>
      </c>
      <c r="E24" s="12">
        <f>'Bulk Calculator'!J14</f>
        <v>1</v>
      </c>
      <c r="F24" s="12">
        <f>'Bulk Calculator'!G14</f>
        <v>25</v>
      </c>
      <c r="G24" s="12" t="str">
        <f>'Bulk Calculator'!H14</f>
        <v>3C / Cu / XLPE / Unarmoured</v>
      </c>
      <c r="H24" s="12">
        <f>'Bulk Calculator'!U14</f>
        <v>2.2051572781548203</v>
      </c>
      <c r="I24" s="12">
        <f>'Bulk Calculator'!Y14</f>
        <v>63.6</v>
      </c>
      <c r="J24" s="12">
        <f>'Bulk Calculator'!AE14</f>
        <v>5.0891490849569172E-4</v>
      </c>
      <c r="K24" s="12">
        <f>'Bulk Calculator'!AJ14</f>
        <v>7.5624999999999987E-4</v>
      </c>
      <c r="L24" s="12" t="str">
        <f>'Bulk Calculator'!AO14</f>
        <v>PASS</v>
      </c>
      <c r="M24" s="12" t="str">
        <f>'Bulk Calculator'!AP14</f>
        <v>SUITABLE</v>
      </c>
    </row>
    <row r="25" spans="1:13" s="13" customFormat="1" ht="15" customHeight="1" x14ac:dyDescent="0.35">
      <c r="A25" s="17">
        <f>'Bulk Calculator'!A15</f>
        <v>12</v>
      </c>
      <c r="B25" s="12" t="str">
        <f>'Bulk Calculator'!B15</f>
        <v>Air Dryer</v>
      </c>
      <c r="C25" s="12">
        <f>'Bulk Calculator'!E15</f>
        <v>0.3</v>
      </c>
      <c r="D25" s="12" t="str">
        <f>'Bulk Calculator'!F15</f>
        <v>Direct/Non-Motor</v>
      </c>
      <c r="E25" s="12">
        <f>'Bulk Calculator'!J15</f>
        <v>1</v>
      </c>
      <c r="F25" s="12">
        <f>'Bulk Calculator'!G15</f>
        <v>25</v>
      </c>
      <c r="G25" s="12" t="str">
        <f>'Bulk Calculator'!H15</f>
        <v>3C / Cu / XLPE / Unarmoured</v>
      </c>
      <c r="H25" s="12">
        <f>'Bulk Calculator'!U15</f>
        <v>2.0380434782608692</v>
      </c>
      <c r="I25" s="12">
        <f>'Bulk Calculator'!Y15</f>
        <v>63.6</v>
      </c>
      <c r="J25" s="12">
        <f>'Bulk Calculator'!AE15</f>
        <v>8.1799604442628316E-4</v>
      </c>
      <c r="K25" s="12">
        <f>'Bulk Calculator'!AJ15</f>
        <v>1.2155460535159652E-3</v>
      </c>
      <c r="L25" s="12" t="str">
        <f>'Bulk Calculator'!AO15</f>
        <v>PASS</v>
      </c>
      <c r="M25" s="12" t="str">
        <f>'Bulk Calculator'!AP15</f>
        <v>SUITABLE</v>
      </c>
    </row>
    <row r="26" spans="1:13" s="13" customFormat="1" ht="15" customHeight="1" x14ac:dyDescent="0.35">
      <c r="A26" s="17">
        <f>'Bulk Calculator'!A16</f>
        <v>13</v>
      </c>
      <c r="B26" s="12" t="str">
        <f>'Bulk Calculator'!B16</f>
        <v>Auto drain vavle - 01</v>
      </c>
      <c r="C26" s="12">
        <f>'Bulk Calculator'!E16</f>
        <v>0.05</v>
      </c>
      <c r="D26" s="12" t="str">
        <f>'Bulk Calculator'!F16</f>
        <v>Direct/Non-Motor</v>
      </c>
      <c r="E26" s="12">
        <f>'Bulk Calculator'!J16</f>
        <v>1</v>
      </c>
      <c r="F26" s="12">
        <f>'Bulk Calculator'!G16</f>
        <v>25</v>
      </c>
      <c r="G26" s="12" t="str">
        <f>'Bulk Calculator'!H16</f>
        <v>3C / Al / XLPE / Armoured</v>
      </c>
      <c r="H26" s="12">
        <f>'Bulk Calculator'!U16</f>
        <v>0.33967391304347822</v>
      </c>
      <c r="I26" s="12">
        <f>'Bulk Calculator'!Y16</f>
        <v>50.88</v>
      </c>
      <c r="J26" s="12">
        <f>'Bulk Calculator'!AE16</f>
        <v>2.0654887602604134E-4</v>
      </c>
      <c r="K26" s="12">
        <f>'Bulk Calculator'!AJ16</f>
        <v>3.274198123948728E-4</v>
      </c>
      <c r="L26" s="12" t="str">
        <f>'Bulk Calculator'!AO16</f>
        <v>PASS</v>
      </c>
      <c r="M26" s="12" t="str">
        <f>'Bulk Calculator'!AP16</f>
        <v>SUITABLE</v>
      </c>
    </row>
    <row r="27" spans="1:13" s="13" customFormat="1" ht="15" customHeight="1" x14ac:dyDescent="0.35">
      <c r="A27" s="17">
        <f>'Bulk Calculator'!A17</f>
        <v>14</v>
      </c>
      <c r="B27" s="12">
        <f>'Bulk Calculator'!B17</f>
        <v>0</v>
      </c>
      <c r="C27" s="12">
        <f>'Bulk Calculator'!E17</f>
        <v>0</v>
      </c>
      <c r="D27" s="12" t="str">
        <f>'Bulk Calculator'!F17</f>
        <v>VFD</v>
      </c>
      <c r="E27" s="12">
        <f>'Bulk Calculator'!J17</f>
        <v>1</v>
      </c>
      <c r="F27" s="12" t="str">
        <f>'Bulk Calculator'!G17</f>
        <v/>
      </c>
      <c r="G27" s="12" t="str">
        <f>'Bulk Calculator'!H17</f>
        <v>3C / Al / XLPE / Armoured</v>
      </c>
      <c r="H27" s="12">
        <f>'Bulk Calculator'!U17</f>
        <v>0</v>
      </c>
      <c r="I27" s="12">
        <f>'Bulk Calculator'!Y17</f>
        <v>0</v>
      </c>
      <c r="J27" s="12">
        <f>'Bulk Calculator'!AE17</f>
        <v>0</v>
      </c>
      <c r="K27" s="12">
        <f>'Bulk Calculator'!AJ17</f>
        <v>0</v>
      </c>
      <c r="L27" s="12" t="str">
        <f>'Bulk Calculator'!AO17</f>
        <v>PASS</v>
      </c>
      <c r="M27" s="12" t="str">
        <f>'Bulk Calculator'!AP17</f>
        <v/>
      </c>
    </row>
    <row r="28" spans="1:13" s="13" customFormat="1" ht="15" customHeight="1" x14ac:dyDescent="0.35">
      <c r="A28" s="17">
        <f>'Bulk Calculator'!A18</f>
        <v>15</v>
      </c>
      <c r="B28" s="12">
        <f>'Bulk Calculator'!B18</f>
        <v>0</v>
      </c>
      <c r="C28" s="12">
        <f>'Bulk Calculator'!E18</f>
        <v>0</v>
      </c>
      <c r="D28" s="12" t="str">
        <f>'Bulk Calculator'!F18</f>
        <v>VFD</v>
      </c>
      <c r="E28" s="12">
        <f>'Bulk Calculator'!J18</f>
        <v>1</v>
      </c>
      <c r="F28" s="12" t="str">
        <f>'Bulk Calculator'!G18</f>
        <v/>
      </c>
      <c r="G28" s="12" t="str">
        <f>'Bulk Calculator'!H18</f>
        <v>3C / Al / XLPE / Armoured</v>
      </c>
      <c r="H28" s="12">
        <f>'Bulk Calculator'!U18</f>
        <v>0</v>
      </c>
      <c r="I28" s="12">
        <f>'Bulk Calculator'!Y18</f>
        <v>0</v>
      </c>
      <c r="J28" s="12">
        <f>'Bulk Calculator'!AE18</f>
        <v>0</v>
      </c>
      <c r="K28" s="12">
        <f>'Bulk Calculator'!AJ18</f>
        <v>0</v>
      </c>
      <c r="L28" s="12" t="str">
        <f>'Bulk Calculator'!AO18</f>
        <v>PASS</v>
      </c>
      <c r="M28" s="12" t="str">
        <f>'Bulk Calculator'!AP18</f>
        <v/>
      </c>
    </row>
    <row r="29" spans="1:13" s="13" customFormat="1" ht="15" customHeight="1" x14ac:dyDescent="0.35">
      <c r="A29" s="17">
        <f>'Bulk Calculator'!A19</f>
        <v>16</v>
      </c>
      <c r="B29" s="12">
        <f>'Bulk Calculator'!B19</f>
        <v>0</v>
      </c>
      <c r="C29" s="12">
        <f>'Bulk Calculator'!E19</f>
        <v>0</v>
      </c>
      <c r="D29" s="12" t="str">
        <f>'Bulk Calculator'!F19</f>
        <v>VFD</v>
      </c>
      <c r="E29" s="12">
        <f>'Bulk Calculator'!J19</f>
        <v>1</v>
      </c>
      <c r="F29" s="12" t="str">
        <f>'Bulk Calculator'!G19</f>
        <v/>
      </c>
      <c r="G29" s="12" t="str">
        <f>'Bulk Calculator'!H19</f>
        <v>3C / Al / XLPE / Armoured</v>
      </c>
      <c r="H29" s="12">
        <f>'Bulk Calculator'!U19</f>
        <v>0</v>
      </c>
      <c r="I29" s="12">
        <f>'Bulk Calculator'!Y19</f>
        <v>0</v>
      </c>
      <c r="J29" s="12">
        <f>'Bulk Calculator'!AE19</f>
        <v>0</v>
      </c>
      <c r="K29" s="12">
        <f>'Bulk Calculator'!AJ19</f>
        <v>0</v>
      </c>
      <c r="L29" s="12" t="str">
        <f>'Bulk Calculator'!AO19</f>
        <v>PASS</v>
      </c>
      <c r="M29" s="12" t="str">
        <f>'Bulk Calculator'!AP19</f>
        <v/>
      </c>
    </row>
    <row r="30" spans="1:13" s="13" customFormat="1" ht="15" customHeight="1" x14ac:dyDescent="0.35">
      <c r="A30" s="17">
        <f>'Bulk Calculator'!A20</f>
        <v>17</v>
      </c>
      <c r="B30" s="12">
        <f>'Bulk Calculator'!B20</f>
        <v>0</v>
      </c>
      <c r="C30" s="12">
        <f>'Bulk Calculator'!E20</f>
        <v>0</v>
      </c>
      <c r="D30" s="12" t="str">
        <f>'Bulk Calculator'!F20</f>
        <v>VFD</v>
      </c>
      <c r="E30" s="12">
        <f>'Bulk Calculator'!J20</f>
        <v>1</v>
      </c>
      <c r="F30" s="12" t="str">
        <f>'Bulk Calculator'!G20</f>
        <v/>
      </c>
      <c r="G30" s="12" t="str">
        <f>'Bulk Calculator'!H20</f>
        <v>3C / Al / XLPE / Armoured</v>
      </c>
      <c r="H30" s="12">
        <f>'Bulk Calculator'!U20</f>
        <v>0</v>
      </c>
      <c r="I30" s="12">
        <f>'Bulk Calculator'!Y20</f>
        <v>0</v>
      </c>
      <c r="J30" s="12">
        <f>'Bulk Calculator'!AE20</f>
        <v>0</v>
      </c>
      <c r="K30" s="12">
        <f>'Bulk Calculator'!AJ20</f>
        <v>0</v>
      </c>
      <c r="L30" s="12" t="str">
        <f>'Bulk Calculator'!AO20</f>
        <v>PASS</v>
      </c>
      <c r="M30" s="12" t="str">
        <f>'Bulk Calculator'!AP20</f>
        <v/>
      </c>
    </row>
    <row r="31" spans="1:13" s="13" customFormat="1" ht="15" customHeight="1" x14ac:dyDescent="0.35">
      <c r="A31" s="17">
        <f>'Bulk Calculator'!A21</f>
        <v>18</v>
      </c>
      <c r="B31" s="12">
        <f>'Bulk Calculator'!B21</f>
        <v>0</v>
      </c>
      <c r="C31" s="12">
        <f>'Bulk Calculator'!E21</f>
        <v>0</v>
      </c>
      <c r="D31" s="12" t="str">
        <f>'Bulk Calculator'!F21</f>
        <v>VFD</v>
      </c>
      <c r="E31" s="12">
        <f>'Bulk Calculator'!J21</f>
        <v>1</v>
      </c>
      <c r="F31" s="12" t="str">
        <f>'Bulk Calculator'!G21</f>
        <v/>
      </c>
      <c r="G31" s="12" t="str">
        <f>'Bulk Calculator'!H21</f>
        <v>3C / Al / XLPE / Armoured</v>
      </c>
      <c r="H31" s="12">
        <f>'Bulk Calculator'!U21</f>
        <v>0</v>
      </c>
      <c r="I31" s="12">
        <f>'Bulk Calculator'!Y21</f>
        <v>0</v>
      </c>
      <c r="J31" s="12">
        <f>'Bulk Calculator'!AE21</f>
        <v>0</v>
      </c>
      <c r="K31" s="12">
        <f>'Bulk Calculator'!AJ21</f>
        <v>0</v>
      </c>
      <c r="L31" s="12" t="str">
        <f>'Bulk Calculator'!AO21</f>
        <v>PASS</v>
      </c>
      <c r="M31" s="12" t="str">
        <f>'Bulk Calculator'!AP21</f>
        <v/>
      </c>
    </row>
    <row r="32" spans="1:13" s="13" customFormat="1" ht="15" customHeight="1" x14ac:dyDescent="0.35">
      <c r="A32" s="17">
        <f>'Bulk Calculator'!A22</f>
        <v>19</v>
      </c>
      <c r="B32" s="12">
        <f>'Bulk Calculator'!B22</f>
        <v>0</v>
      </c>
      <c r="C32" s="12">
        <f>'Bulk Calculator'!E22</f>
        <v>0</v>
      </c>
      <c r="D32" s="12" t="str">
        <f>'Bulk Calculator'!F22</f>
        <v>VFD</v>
      </c>
      <c r="E32" s="12">
        <f>'Bulk Calculator'!J22</f>
        <v>1</v>
      </c>
      <c r="F32" s="12" t="str">
        <f>'Bulk Calculator'!G22</f>
        <v/>
      </c>
      <c r="G32" s="12" t="str">
        <f>'Bulk Calculator'!H22</f>
        <v>3C / Al / XLPE / Armoured</v>
      </c>
      <c r="H32" s="12">
        <f>'Bulk Calculator'!U22</f>
        <v>0</v>
      </c>
      <c r="I32" s="12">
        <f>'Bulk Calculator'!Y22</f>
        <v>0</v>
      </c>
      <c r="J32" s="12">
        <f>'Bulk Calculator'!AE22</f>
        <v>0</v>
      </c>
      <c r="K32" s="12">
        <f>'Bulk Calculator'!AJ22</f>
        <v>0</v>
      </c>
      <c r="L32" s="12" t="str">
        <f>'Bulk Calculator'!AO22</f>
        <v>PASS</v>
      </c>
      <c r="M32" s="12" t="str">
        <f>'Bulk Calculator'!AP22</f>
        <v/>
      </c>
    </row>
    <row r="33" spans="1:13" s="13" customFormat="1" ht="15" customHeight="1" x14ac:dyDescent="0.35">
      <c r="A33" s="17">
        <f>'Bulk Calculator'!A23</f>
        <v>20</v>
      </c>
      <c r="B33" s="12">
        <f>'Bulk Calculator'!B23</f>
        <v>0</v>
      </c>
      <c r="C33" s="12">
        <f>'Bulk Calculator'!E23</f>
        <v>0</v>
      </c>
      <c r="D33" s="12" t="str">
        <f>'Bulk Calculator'!F23</f>
        <v>VFD</v>
      </c>
      <c r="E33" s="12">
        <f>'Bulk Calculator'!J23</f>
        <v>1</v>
      </c>
      <c r="F33" s="12" t="str">
        <f>'Bulk Calculator'!G23</f>
        <v/>
      </c>
      <c r="G33" s="12" t="str">
        <f>'Bulk Calculator'!H23</f>
        <v>3C / Al / XLPE / Armoured</v>
      </c>
      <c r="H33" s="12">
        <f>'Bulk Calculator'!U23</f>
        <v>0</v>
      </c>
      <c r="I33" s="12">
        <f>'Bulk Calculator'!Y23</f>
        <v>0</v>
      </c>
      <c r="J33" s="12">
        <f>'Bulk Calculator'!AE23</f>
        <v>0</v>
      </c>
      <c r="K33" s="12">
        <f>'Bulk Calculator'!AJ23</f>
        <v>0</v>
      </c>
      <c r="L33" s="12" t="str">
        <f>'Bulk Calculator'!AO23</f>
        <v>PASS</v>
      </c>
      <c r="M33" s="12" t="str">
        <f>'Bulk Calculator'!AP23</f>
        <v/>
      </c>
    </row>
    <row r="34" spans="1:13" s="13" customFormat="1" ht="15" customHeight="1" x14ac:dyDescent="0.35"/>
  </sheetData>
  <autoFilter ref="A13:M33" xr:uid="{00000000-0009-0000-0000-000001000000}"/>
  <mergeCells count="2">
    <mergeCell ref="A2:M2"/>
    <mergeCell ref="A1:M1"/>
  </mergeCells>
  <pageMargins left="0.75" right="0.75" top="1" bottom="1" header="0.511811023622047" footer="0.511811023622047"/>
  <pageSetup paperSize="9" scale="38" orientation="portrait" horizontalDpi="300" verticalDpi="30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103"/>
  <sheetViews>
    <sheetView showGridLines="0" zoomScale="70" zoomScaleNormal="70" workbookViewId="0">
      <pane ySplit="3" topLeftCell="A15" activePane="bottomLeft" state="frozen"/>
      <selection pane="bottomLeft" activeCell="D18" sqref="D18"/>
    </sheetView>
  </sheetViews>
  <sheetFormatPr defaultColWidth="8.90625" defaultRowHeight="23.25" customHeight="1" x14ac:dyDescent="0.35"/>
  <cols>
    <col min="1" max="1" width="18.54296875" style="2" bestFit="1" customWidth="1"/>
    <col min="2" max="2" width="31" style="2" bestFit="1" customWidth="1"/>
    <col min="3" max="3" width="27.453125" style="2" bestFit="1" customWidth="1"/>
    <col min="4" max="4" width="30.6328125" style="22" bestFit="1" customWidth="1"/>
    <col min="5" max="5" width="21.81640625" style="22" bestFit="1" customWidth="1"/>
    <col min="6" max="6" width="26.1796875" style="22" bestFit="1" customWidth="1"/>
    <col min="7" max="7" width="34.90625" style="2" bestFit="1" customWidth="1"/>
    <col min="8" max="8" width="39.08984375" style="2" bestFit="1" customWidth="1"/>
    <col min="9" max="9" width="24.36328125" style="2" bestFit="1" customWidth="1"/>
    <col min="10" max="10" width="24.81640625" style="2" bestFit="1" customWidth="1"/>
    <col min="11" max="11" width="22.08984375" style="2" bestFit="1" customWidth="1"/>
    <col min="12" max="12" width="29.453125" style="2" bestFit="1" customWidth="1"/>
    <col min="13" max="13" width="25.1796875" style="2" bestFit="1" customWidth="1"/>
    <col min="14" max="14" width="24.81640625" style="2" bestFit="1" customWidth="1"/>
    <col min="15" max="15" width="31.6328125" style="2" bestFit="1" customWidth="1"/>
    <col min="16" max="16" width="33.1796875" style="2" bestFit="1" customWidth="1"/>
    <col min="17" max="17" width="24.36328125" style="2" bestFit="1" customWidth="1"/>
    <col min="18" max="18" width="33.6328125" style="2" bestFit="1" customWidth="1"/>
    <col min="19" max="19" width="25.81640625" style="2" bestFit="1" customWidth="1"/>
    <col min="20" max="20" width="30.90625" style="2" bestFit="1" customWidth="1"/>
    <col min="21" max="21" width="19.36328125" style="2" bestFit="1" customWidth="1"/>
    <col min="22" max="22" width="34.1796875" style="2" bestFit="1" customWidth="1"/>
    <col min="23" max="24" width="18.08984375" style="2" bestFit="1" customWidth="1"/>
    <col min="25" max="25" width="34.1796875" style="2" bestFit="1" customWidth="1"/>
    <col min="26" max="26" width="29.453125" style="2" bestFit="1" customWidth="1"/>
    <col min="27" max="27" width="33.1796875" style="2" bestFit="1" customWidth="1"/>
    <col min="28" max="28" width="26.453125" style="2" bestFit="1" customWidth="1"/>
    <col min="29" max="29" width="35.08984375" style="2" bestFit="1" customWidth="1"/>
    <col min="30" max="30" width="27.453125" style="2" bestFit="1" customWidth="1"/>
    <col min="31" max="31" width="27.81640625" style="2" bestFit="1" customWidth="1"/>
    <col min="32" max="32" width="33.1796875" style="2" bestFit="1" customWidth="1"/>
    <col min="33" max="33" width="27.1796875" style="2" bestFit="1" customWidth="1"/>
    <col min="34" max="34" width="35.90625" style="2" bestFit="1" customWidth="1"/>
    <col min="35" max="35" width="28.1796875" style="2" bestFit="1" customWidth="1"/>
    <col min="36" max="36" width="28.6328125" style="2" bestFit="1" customWidth="1"/>
    <col min="37" max="37" width="34" style="2" bestFit="1" customWidth="1"/>
    <col min="38" max="38" width="33.08984375" style="2" bestFit="1" customWidth="1"/>
    <col min="39" max="39" width="32.90625" style="2" bestFit="1" customWidth="1"/>
    <col min="40" max="40" width="35.90625" style="2" bestFit="1" customWidth="1"/>
    <col min="41" max="41" width="22.08984375" style="2" bestFit="1" customWidth="1"/>
    <col min="42" max="42" width="27.6328125" style="2" bestFit="1" customWidth="1"/>
    <col min="43" max="43" width="24" style="2" bestFit="1" customWidth="1"/>
    <col min="44" max="44" width="22.81640625" style="2" bestFit="1" customWidth="1"/>
    <col min="45" max="45" width="26" style="2" bestFit="1" customWidth="1"/>
    <col min="46" max="46" width="33.453125" style="2" bestFit="1" customWidth="1"/>
    <col min="47" max="47" width="56.453125" style="2" bestFit="1" customWidth="1"/>
    <col min="48" max="48" width="32.6328125" style="2" bestFit="1" customWidth="1"/>
    <col min="49" max="49" width="69.453125" style="2" bestFit="1" customWidth="1"/>
    <col min="50" max="50" width="33.90625" style="3" bestFit="1" customWidth="1"/>
    <col min="51" max="51" width="34" style="3" bestFit="1" customWidth="1"/>
    <col min="52" max="52" width="98.08984375" style="3" bestFit="1" customWidth="1"/>
    <col min="53" max="53" width="36.08984375" style="3" bestFit="1" customWidth="1"/>
    <col min="54" max="54" width="30.81640625" style="3" bestFit="1" customWidth="1"/>
    <col min="55" max="55" width="67.1796875" style="3" bestFit="1" customWidth="1"/>
    <col min="56" max="56" width="30.453125" style="3" bestFit="1" customWidth="1"/>
    <col min="57" max="57" width="28" style="3" hidden="1" customWidth="1"/>
    <col min="58" max="58" width="7.1796875" style="3" bestFit="1" customWidth="1"/>
    <col min="59" max="59" width="5.81640625" style="3" bestFit="1" customWidth="1"/>
    <col min="60" max="60" width="6" style="3" bestFit="1" customWidth="1"/>
    <col min="61" max="61" width="8.26953125" style="3" bestFit="1" customWidth="1"/>
    <col min="62" max="62" width="13.7265625" style="3" bestFit="1" customWidth="1"/>
    <col min="63" max="63" width="17.36328125" style="3" bestFit="1" customWidth="1"/>
    <col min="64" max="64" width="10.54296875" style="3" bestFit="1" customWidth="1"/>
    <col min="65" max="65" width="8.08984375" style="3" bestFit="1" customWidth="1"/>
    <col min="66" max="66" width="11.26953125" style="3" bestFit="1" customWidth="1"/>
    <col min="67" max="69" width="8.6328125" style="3" bestFit="1" customWidth="1"/>
    <col min="70" max="70" width="7.26953125" style="3" bestFit="1" customWidth="1"/>
    <col min="71" max="71" width="26.54296875" style="3" customWidth="1"/>
    <col min="72" max="72" width="37.36328125" style="3" bestFit="1" customWidth="1"/>
    <col min="73" max="74" width="8.90625" style="3" customWidth="1"/>
    <col min="75" max="16384" width="8.90625" style="3"/>
  </cols>
  <sheetData>
    <row r="1" spans="1:72" s="5" customFormat="1" ht="23.5" customHeight="1" x14ac:dyDescent="0.35">
      <c r="A1" s="121" t="s">
        <v>67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3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</row>
    <row r="2" spans="1:72" s="5" customFormat="1" ht="23.5" customHeight="1" x14ac:dyDescent="0.35">
      <c r="A2" s="124" t="s">
        <v>68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6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4"/>
      <c r="BT2" s="4"/>
    </row>
    <row r="3" spans="1:72" s="7" customFormat="1" ht="54.75" customHeight="1" x14ac:dyDescent="0.35">
      <c r="A3" s="15" t="s">
        <v>54</v>
      </c>
      <c r="B3" s="15" t="s">
        <v>55</v>
      </c>
      <c r="C3" s="15" t="s">
        <v>69</v>
      </c>
      <c r="D3" s="20" t="s">
        <v>70</v>
      </c>
      <c r="E3" s="20" t="s">
        <v>56</v>
      </c>
      <c r="F3" s="20" t="s">
        <v>71</v>
      </c>
      <c r="G3" s="15" t="s">
        <v>72</v>
      </c>
      <c r="H3" s="20" t="s">
        <v>73</v>
      </c>
      <c r="I3" s="15" t="s">
        <v>74</v>
      </c>
      <c r="J3" s="20" t="s">
        <v>75</v>
      </c>
      <c r="K3" s="15" t="s">
        <v>76</v>
      </c>
      <c r="L3" s="15" t="s">
        <v>77</v>
      </c>
      <c r="M3" s="15" t="s">
        <v>78</v>
      </c>
      <c r="N3" s="15" t="s">
        <v>79</v>
      </c>
      <c r="O3" s="20" t="s">
        <v>80</v>
      </c>
      <c r="P3" s="15" t="s">
        <v>81</v>
      </c>
      <c r="Q3" s="15" t="s">
        <v>82</v>
      </c>
      <c r="R3" s="15" t="s">
        <v>83</v>
      </c>
      <c r="S3" s="15" t="s">
        <v>84</v>
      </c>
      <c r="T3" s="15" t="s">
        <v>85</v>
      </c>
      <c r="U3" s="15" t="s">
        <v>86</v>
      </c>
      <c r="V3" s="15" t="s">
        <v>87</v>
      </c>
      <c r="W3" s="20" t="s">
        <v>88</v>
      </c>
      <c r="X3" s="20" t="s">
        <v>89</v>
      </c>
      <c r="Y3" s="15" t="s">
        <v>90</v>
      </c>
      <c r="Z3" s="15" t="s">
        <v>91</v>
      </c>
      <c r="AA3" s="15" t="s">
        <v>92</v>
      </c>
      <c r="AB3" s="15" t="s">
        <v>93</v>
      </c>
      <c r="AC3" s="15" t="s">
        <v>94</v>
      </c>
      <c r="AD3" s="15" t="s">
        <v>95</v>
      </c>
      <c r="AE3" s="15" t="s">
        <v>63</v>
      </c>
      <c r="AF3" s="15" t="s">
        <v>96</v>
      </c>
      <c r="AG3" s="15" t="s">
        <v>97</v>
      </c>
      <c r="AH3" s="15" t="s">
        <v>98</v>
      </c>
      <c r="AI3" s="15" t="s">
        <v>99</v>
      </c>
      <c r="AJ3" s="15" t="s">
        <v>64</v>
      </c>
      <c r="AK3" s="15" t="s">
        <v>100</v>
      </c>
      <c r="AL3" s="15" t="s">
        <v>101</v>
      </c>
      <c r="AM3" s="15" t="s">
        <v>102</v>
      </c>
      <c r="AN3" s="15" t="s">
        <v>103</v>
      </c>
      <c r="AO3" s="15" t="s">
        <v>104</v>
      </c>
      <c r="AP3" s="15" t="s">
        <v>66</v>
      </c>
      <c r="AQ3" s="15" t="s">
        <v>105</v>
      </c>
      <c r="AR3" s="15" t="s">
        <v>106</v>
      </c>
      <c r="AS3" s="15" t="s">
        <v>107</v>
      </c>
      <c r="AT3" s="15" t="s">
        <v>108</v>
      </c>
      <c r="AU3" s="15" t="s">
        <v>109</v>
      </c>
      <c r="AV3" s="15" t="s">
        <v>110</v>
      </c>
      <c r="AW3" s="15" t="s">
        <v>111</v>
      </c>
      <c r="AX3" s="15" t="s">
        <v>112</v>
      </c>
      <c r="AY3" s="15" t="s">
        <v>113</v>
      </c>
      <c r="AZ3" s="15" t="s">
        <v>114</v>
      </c>
      <c r="BA3" s="20" t="s">
        <v>115</v>
      </c>
      <c r="BB3" s="15" t="s">
        <v>116</v>
      </c>
      <c r="BC3" s="15" t="s">
        <v>117</v>
      </c>
      <c r="BD3" s="15" t="s">
        <v>118</v>
      </c>
      <c r="BE3" s="15"/>
      <c r="BF3" s="15" t="s">
        <v>119</v>
      </c>
      <c r="BG3" s="15" t="s">
        <v>120</v>
      </c>
      <c r="BH3" s="15" t="s">
        <v>121</v>
      </c>
      <c r="BI3" s="15" t="s">
        <v>122</v>
      </c>
      <c r="BJ3" s="15" t="s">
        <v>123</v>
      </c>
      <c r="BK3" s="15" t="s">
        <v>124</v>
      </c>
      <c r="BL3" s="15" t="s">
        <v>125</v>
      </c>
      <c r="BM3" s="15" t="s">
        <v>74</v>
      </c>
      <c r="BN3" s="15" t="s">
        <v>126</v>
      </c>
      <c r="BO3" s="15" t="s">
        <v>127</v>
      </c>
      <c r="BP3" s="15" t="s">
        <v>128</v>
      </c>
      <c r="BQ3" s="15" t="s">
        <v>129</v>
      </c>
      <c r="BR3" s="15" t="str">
        <f ca="1">IFERROR(_xludf.xlookup(1,('Cable Data Master'!$A$2:$A$500=BG3)*('Cable Data Master'!$B$2:$B$500=BH3)*('Cable Data Master'!$C$2:$C$500=BI3)*('Cable Data Master'!$D$2:$D$500=BJ3)*('Cable Data Master'!$E$2:$E$500=BK3)*('Cable Data Master'!$F$2:$F$500=BL3),'Cable Data Master'!$J$2:$J$500),"Not Found")</f>
        <v>Not Found</v>
      </c>
      <c r="BS3" s="21"/>
      <c r="BT3" s="6" t="s">
        <v>130</v>
      </c>
    </row>
    <row r="4" spans="1:72" s="85" customFormat="1" ht="30" customHeight="1" x14ac:dyDescent="0.35">
      <c r="A4" s="72">
        <v>1</v>
      </c>
      <c r="B4" s="73" t="s">
        <v>131</v>
      </c>
      <c r="C4" s="73">
        <v>400</v>
      </c>
      <c r="D4" s="74">
        <v>4.5</v>
      </c>
      <c r="E4" s="74">
        <v>150</v>
      </c>
      <c r="F4" s="74" t="s">
        <v>132</v>
      </c>
      <c r="G4" s="75">
        <f>IF(OR(C4="",D4="",E4="",H4="",J4="",K4="",L4="",M4="",N4="",O4="",P4="",Q4="",R4="",S4=""),"",IFERROR(LOOKUP(2,1/(('AUTO ENGINE'!$A$2:$A$1201=ROW())*('AUTO ENGINE'!$M$2:$M$1201=1)),'AUTO ENGINE'!$B$2:$B$1201),"NO CABLE PASSES"))</f>
        <v>120</v>
      </c>
      <c r="H4" s="76" t="s">
        <v>133</v>
      </c>
      <c r="I4" s="77">
        <f t="shared" ref="I4:I35" si="0">IFERROR(BM4,"")</f>
        <v>31</v>
      </c>
      <c r="J4" s="73">
        <v>2</v>
      </c>
      <c r="K4" s="73">
        <v>415</v>
      </c>
      <c r="L4" s="73">
        <v>0.53</v>
      </c>
      <c r="M4" s="73">
        <v>0.85</v>
      </c>
      <c r="N4" s="73">
        <v>0.95399999999999996</v>
      </c>
      <c r="O4" s="73">
        <v>0.06</v>
      </c>
      <c r="P4" s="73">
        <v>1.5</v>
      </c>
      <c r="Q4" s="73">
        <v>0.3</v>
      </c>
      <c r="R4" s="78">
        <f t="shared" ref="R4:R35" si="1">IFERROR(C4*1000/(SQRT(3)*K4*(D4/100))/1000,"")</f>
        <v>12.366270826016082</v>
      </c>
      <c r="S4" s="73">
        <v>1</v>
      </c>
      <c r="T4" s="72">
        <f t="shared" ref="T4:T35" si="2">IFERROR(BQ4,"")</f>
        <v>143</v>
      </c>
      <c r="U4" s="72">
        <f t="shared" ref="U4:U14" si="3">IFERROR(E4*1000/(SQRT(3)*K4*M4*N4),"")</f>
        <v>257.34470364905832</v>
      </c>
      <c r="V4" s="72">
        <f t="shared" ref="V4:V35" si="4">IFERROR(BN4,"")</f>
        <v>257</v>
      </c>
      <c r="W4" s="72">
        <f t="shared" ref="W4:W35" si="5">IFERROR(BO4,"")</f>
        <v>0.32500000000000001</v>
      </c>
      <c r="X4" s="72">
        <f t="shared" ref="X4:X35" si="6">IFERROR(BP4,"")</f>
        <v>7.1999999999999995E-2</v>
      </c>
      <c r="Y4" s="72">
        <f t="shared" ref="Y4:Y35" si="7">IFERROR(J4*L4*V4,"")</f>
        <v>272.42</v>
      </c>
      <c r="Z4" s="72" t="str">
        <f t="shared" ref="Z4:Z35" si="8">IF(OR(U4="",Y4=""),"",IF(Y4&gt;=U4,"PASS","FAIL"))</f>
        <v>PASS</v>
      </c>
      <c r="AA4" s="78">
        <f t="shared" ref="AA4:AA35" si="9">IFERROR(U4*P4,"")</f>
        <v>386.01705547358745</v>
      </c>
      <c r="AB4" s="78">
        <f t="shared" ref="AB4:AB35" si="10">IFERROR(SQRT(1-Q4^2),"")</f>
        <v>0.95393920141694566</v>
      </c>
      <c r="AC4" s="78">
        <f t="shared" ref="AC4:AC35" si="11">IFERROR(((W4*Q4)+(X4*AB4))/J4,"")</f>
        <v>8.3091811251010034E-2</v>
      </c>
      <c r="AD4" s="78">
        <f t="shared" ref="AD4:AD35" si="12">IFERROR(IF(AND(ISNUMBER(W4),ISNUMBER(X4),W4&gt;0,X4&gt;0),SQRT(3)*O4*AA4*((W4*Q4)+(X4*AB4))/J4,BL4*AA4*O4/J4),"")</f>
        <v>3.3333168467837622</v>
      </c>
      <c r="AE4" s="78">
        <f t="shared" ref="AE4:AE35" si="13">IFERROR(AD4/K4*100,"")</f>
        <v>0.80320887874307523</v>
      </c>
      <c r="AF4" s="72" t="str">
        <f>IF(OR(AE4="",AD4=""),"",IF(AE4&lt;='OS-DORAEN'!$B$6,"PASS","FAIL"))</f>
        <v>PASS</v>
      </c>
      <c r="AG4" s="78">
        <f t="shared" ref="AG4:AG35" si="14">IFERROR(SQRT(1-M4^2),"")</f>
        <v>0.52678268764263703</v>
      </c>
      <c r="AH4" s="78">
        <f t="shared" ref="AH4:AH35" si="15">IFERROR(((W4*M4)+(X4*AG4))/J4,"")</f>
        <v>0.15708917675513492</v>
      </c>
      <c r="AI4" s="78">
        <f t="shared" ref="AI4:AI35" si="16">IFERROR(IF(AND(ISNUMBER(W4),ISNUMBER(X4),W4&gt;0,X4&gt;0),SQRT(3)*O4*U4*((W4*M4)+(X4*AG4))/J4,BL4*U4*O4/J4),"")</f>
        <v>4.2012001860084496</v>
      </c>
      <c r="AJ4" s="78">
        <f t="shared" ref="AJ4:AJ35" si="17">IFERROR(AI4/K4*100,"")</f>
        <v>1.0123373942189036</v>
      </c>
      <c r="AK4" s="72" t="str">
        <f>IF(OR(AJ4="",AI4=""),"",IF(AJ4&lt;='OS-DORAEN'!$B$5,"PASS","FAIL"))</f>
        <v>PASS</v>
      </c>
      <c r="AL4" s="79">
        <f t="shared" ref="AL4:AL35" si="18">IFERROR(R4*1000*SQRT(S4)/T4,"")</f>
        <v>86.477418363748825</v>
      </c>
      <c r="AM4" s="79">
        <f t="shared" ref="AM4:AM35" si="19">IFERROR(G4*J4,"")</f>
        <v>240</v>
      </c>
      <c r="AN4" s="79">
        <f t="shared" ref="AN4:AN35" si="20">IFERROR(T4*AM4/SQRT(S4)/1000,"")</f>
        <v>34.32</v>
      </c>
      <c r="AO4" s="79" t="str">
        <f t="shared" ref="AO4:AO35" si="21">IF(OR(R4="",S4="",T4=""),"NOT CHECKED",IF(AN4&gt;=R4,"PASS","FAIL"))</f>
        <v>PASS</v>
      </c>
      <c r="AP4" s="72" t="str">
        <f t="shared" ref="AP4:AP35" si="22">IF(OR(B4="",E4=""),"",IF(AND(Z4="PASS",AF4="PASS",AK4="PASS",AO4="PASS"),"SUITABLE","NOT SUITABLE"))</f>
        <v>SUITABLE</v>
      </c>
      <c r="AQ4" s="72">
        <f t="shared" ref="AQ4:AQ35" si="23">IF(OR(B4="",E4=""),"",3)</f>
        <v>3</v>
      </c>
      <c r="AR4" s="72" t="str">
        <f t="shared" ref="AR4:AR14" si="24">IF(OR(B4="",E4=""),"","MCCB")</f>
        <v>MCCB</v>
      </c>
      <c r="AS4" s="79">
        <f t="shared" ref="AS4:AS35" si="25">IF(U4="","",ROUND(U4,1))</f>
        <v>257.3</v>
      </c>
      <c r="AT4" s="72">
        <f>IF(AS4="","",IF(AS4&lt;=Lists!$J$2,Lists!$J$2,IFERROR(INDEX(Lists!$J$2:$J$28,IF(INDEX(Lists!$J$2:$J$28,MATCH(AS4,Lists!$J$2:$J$28,1))=AS4,MATCH(AS4,Lists!$J$2:$J$28,1),MATCH(AS4,Lists!$J$2:$J$28,1)+1)),"NO STANDARD CB")))</f>
        <v>320</v>
      </c>
      <c r="AU4" s="72" t="str">
        <f t="shared" ref="AU4:AU35" si="26">IF(AT4="","","Manufacturer-specific adjustable trip unit")</f>
        <v>Manufacturer-specific adjustable trip unit</v>
      </c>
      <c r="AV4" s="79">
        <f t="shared" ref="AV4:AV35" si="27">IF(AS4="","",ROUND(AS4,1))</f>
        <v>257.3</v>
      </c>
      <c r="AW4" s="72" t="str">
        <f t="shared" ref="AW4:AW35" si="28">IF(AT4="","","Verify manufacturer instantaneous/magnetic pickup")</f>
        <v>Verify manufacturer instantaneous/magnetic pickup</v>
      </c>
      <c r="AX4" s="72" t="str">
        <f t="shared" ref="AX4:AX35" si="29">IF(AA4="","","VERIFY MANUFACTURER")</f>
        <v>VERIFY MANUFACTURER</v>
      </c>
      <c r="AY4" s="72" t="str">
        <f t="shared" ref="AY4:AY35" si="30">IF(OR(AV4="",Y4="",AS4=""),"",IF(AND(AV4&gt;=AS4,AV4&lt;=Y4),"PASS","FAIL - THERMAL SETTING NOT COORDINATED"))</f>
        <v>PASS</v>
      </c>
      <c r="AZ4" s="72" t="str">
        <f t="shared" ref="AZ4:AZ35" si="31">IF(AS4="","",TEXT(AT4,"0")&amp;" A MCCB; target Ir "&amp;TEXT(AV4,"0.0")&amp;" A; manufacturer trip-unit verification required")</f>
        <v>320 A MCCB; target Ir 257.3 A; manufacturer trip-unit verification required</v>
      </c>
      <c r="BA4" s="80"/>
      <c r="BB4" s="72" t="str">
        <f t="shared" ref="BB4:BB35" si="32">IF(OR(R4="",BA4=""),"ENTER CB Icu/Ics",IF(BA4&gt;=R4,"PASS","FAIL - CB Icu/Ics &lt; FAULT LEVEL"))</f>
        <v>ENTER CB Icu/Ics</v>
      </c>
      <c r="BC4" s="72" t="str">
        <f t="shared" ref="BC4:BC35" si="33">IF(R4="","",IF(BA4="","Enter manufacturer CB Icu/Ics. Required ≥ "&amp;TEXT(R4,"0.00")&amp;" kA",IF(BA4&lt;R4,"FAIL: CB Icu/Ics "&amp;TEXT(BA4,"0.00")&amp;" kA &lt; fault level "&amp;TEXT(R4,"0.00")&amp;" kA","PASS: CB Icu/Ics "&amp;TEXT(BA4,"0.00")&amp;" kA ≥ fault level "&amp;TEXT(R4,"0.00")&amp;" kA")))</f>
        <v>Enter manufacturer CB Icu/Ics. Required ≥ 12.37 kA</v>
      </c>
      <c r="BD4" s="72" t="str">
        <f>IF(OR(AS4="",AT4="",AV4=""),"",IF(AND(AT4&gt;=AS4,COUNTIF(Lists!$J$2:$J$28,AT4)&gt;0,AV4&gt;=AS4,AV4&lt;=AT4),"PASS","FAIL - REVIEW MCCB FRAME/TRIP UNIT"))</f>
        <v>PASS</v>
      </c>
      <c r="BE4" s="81"/>
      <c r="BF4" s="81" t="str">
        <f t="shared" ref="BF4:BF35" si="34">IFERROR(TRIM(BI4),"")</f>
        <v>XLPE</v>
      </c>
      <c r="BG4" s="81" t="str">
        <f t="shared" ref="BG4:BG35" si="35">IFERROR(TRIM(LEFT(H4,FIND(" / ",H4)-1)),"")</f>
        <v>3C</v>
      </c>
      <c r="BH4" s="81" t="str">
        <f t="shared" ref="BH4:BH35" si="36">IFERROR(TRIM(MID(H4,FIND(" / ",H4)+3,FIND(" / ",H4,FIND(" / ",H4)+1)-FIND(" / ",H4)-3)),"")</f>
        <v>Al</v>
      </c>
      <c r="BI4" s="82" t="str">
        <f t="shared" ref="BI4:BI35" si="37">IFERROR(TRIM(MID(H4,FIND(" / ",H4,FIND(" / ",H4)+1)+3,FIND(" / ",H4,FIND(" / ",H4,FIND(" / ",H4)+1)+1)-FIND(" / ",H4,FIND(" / ",H4,FIND(" / ",H4)+1))-3)),"")</f>
        <v>XLPE</v>
      </c>
      <c r="BJ4" s="82" t="str">
        <f t="shared" ref="BJ4:BJ35" si="38">IFERROR(TRIM(RIGHT(H4,LEN(H4)-FIND(" / ",H4,FIND(" / ",H4,FIND(" / ",H4)+1)+1)-2)),"")</f>
        <v>Armoured</v>
      </c>
      <c r="BK4" s="82">
        <f t="shared" ref="BK4:BK35" si="39">G4</f>
        <v>120</v>
      </c>
      <c r="BL4" s="82">
        <f>IFERROR(SUMIFS('Cable Data Master'!$K:$K,'Cable Data Master'!$A:$A,$BF4,'Cable Data Master'!$B:$B,$BG4,'Cable Data Master'!$C:$C,$BH4,'Cable Data Master'!$D:$D,$BI4,'Cable Data Master'!$E:$E,$BJ4,'Cable Data Master'!$F:$F,$BK4),"")</f>
        <v>0.32500000000000001</v>
      </c>
      <c r="BM4" s="82">
        <f>IFERROR(SUMIFS('Cable Data Master'!$L:$L,'Cable Data Master'!$A:$A,$BF4,'Cable Data Master'!$B:$B,$BG4,'Cable Data Master'!$C:$C,$BH4,'Cable Data Master'!$D:$D,$BI4,'Cable Data Master'!$E:$E,$BJ4,'Cable Data Master'!$F:$F,$BK4),"")</f>
        <v>31</v>
      </c>
      <c r="BN4" s="72">
        <f>IFERROR(SUMIFS('Cable Data Master'!$G:$G,'Cable Data Master'!$A:$A,$BF4,'Cable Data Master'!$B:$B,$BG4,'Cable Data Master'!$C:$C,$BH4,'Cable Data Master'!$D:$D,$BI4,'Cable Data Master'!$E:$E,$BJ4,'Cable Data Master'!$F:$F,$BK4),"")</f>
        <v>257</v>
      </c>
      <c r="BO4" s="72">
        <f>IFERROR(SUMIFS('Cable Data Master'!$H:$H,'Cable Data Master'!$A:$A,$BF4,'Cable Data Master'!$B:$B,$BG4,'Cable Data Master'!$C:$C,$BH4,'Cable Data Master'!$D:$D,$BI4,'Cable Data Master'!$E:$E,$BJ4,'Cable Data Master'!$F:$F,$BK4),"")</f>
        <v>0.32500000000000001</v>
      </c>
      <c r="BP4" s="72">
        <f>IFERROR(SUMIFS('Cable Data Master'!$I:$I,'Cable Data Master'!$A:$A,$BF4,'Cable Data Master'!$B:$B,$BG4,'Cable Data Master'!$C:$C,$BH4,'Cable Data Master'!$D:$D,$BI4,'Cable Data Master'!$E:$E,$BJ4,'Cable Data Master'!$F:$F,$BK4),"")</f>
        <v>7.1999999999999995E-2</v>
      </c>
      <c r="BQ4" s="72">
        <f>IFERROR(SUMIFS('Cable Data Master'!$J:$J,'Cable Data Master'!$A:$A,$BF4,'Cable Data Master'!$B:$B,$BG4,'Cable Data Master'!$C:$C,$BH4,'Cable Data Master'!$D:$D,$BI4,'Cable Data Master'!$E:$E,$BJ4,'Cable Data Master'!$F:$F,$BK4),"")</f>
        <v>143</v>
      </c>
      <c r="BR4" s="72"/>
      <c r="BS4" s="83"/>
      <c r="BT4" s="84"/>
    </row>
    <row r="5" spans="1:72" s="85" customFormat="1" ht="30" customHeight="1" x14ac:dyDescent="0.35">
      <c r="A5" s="72">
        <v>2</v>
      </c>
      <c r="B5" s="73" t="s">
        <v>131</v>
      </c>
      <c r="C5" s="73">
        <v>100</v>
      </c>
      <c r="D5" s="74">
        <v>4.5</v>
      </c>
      <c r="E5" s="74">
        <v>11</v>
      </c>
      <c r="F5" s="74" t="s">
        <v>134</v>
      </c>
      <c r="G5" s="75">
        <f>IF(OR(C5="",D5="",E5="",H5="",J5="",K5="",L5="",M5="",N5="",O5="",P5="",Q5="",R5="",S5=""),"",IFERROR(LOOKUP(2,1/(('AUTO ENGINE'!$A$2:$A$1201=ROW())*('AUTO ENGINE'!$M$2:$M$1201=1)),'AUTO ENGINE'!$B$2:$B$1201),"NO CABLE PASSES"))</f>
        <v>25</v>
      </c>
      <c r="H5" s="76" t="s">
        <v>133</v>
      </c>
      <c r="I5" s="77">
        <f t="shared" si="0"/>
        <v>17.5</v>
      </c>
      <c r="J5" s="73">
        <v>2</v>
      </c>
      <c r="K5" s="73">
        <v>415</v>
      </c>
      <c r="L5" s="73">
        <v>0.53</v>
      </c>
      <c r="M5" s="73">
        <v>0.85</v>
      </c>
      <c r="N5" s="73">
        <v>0.95399999999999996</v>
      </c>
      <c r="O5" s="73">
        <v>0.06</v>
      </c>
      <c r="P5" s="73">
        <v>1.5</v>
      </c>
      <c r="Q5" s="73">
        <v>0.3</v>
      </c>
      <c r="R5" s="78">
        <f t="shared" si="1"/>
        <v>3.0915677065040206</v>
      </c>
      <c r="S5" s="73">
        <v>1</v>
      </c>
      <c r="T5" s="72">
        <f t="shared" si="2"/>
        <v>143</v>
      </c>
      <c r="U5" s="72">
        <f t="shared" si="3"/>
        <v>18.871944934264274</v>
      </c>
      <c r="V5" s="72">
        <f t="shared" si="4"/>
        <v>96</v>
      </c>
      <c r="W5" s="72">
        <f t="shared" si="5"/>
        <v>1.54</v>
      </c>
      <c r="X5" s="72">
        <f t="shared" si="6"/>
        <v>0.08</v>
      </c>
      <c r="Y5" s="72">
        <f t="shared" si="7"/>
        <v>101.76</v>
      </c>
      <c r="Z5" s="72" t="str">
        <f t="shared" si="8"/>
        <v>PASS</v>
      </c>
      <c r="AA5" s="78">
        <f t="shared" si="9"/>
        <v>28.307917401396409</v>
      </c>
      <c r="AB5" s="78">
        <f t="shared" si="10"/>
        <v>0.95393920141694566</v>
      </c>
      <c r="AC5" s="78">
        <f t="shared" si="11"/>
        <v>0.26915756805667779</v>
      </c>
      <c r="AD5" s="78">
        <f t="shared" si="12"/>
        <v>0.79181986510930435</v>
      </c>
      <c r="AE5" s="78">
        <f t="shared" si="13"/>
        <v>0.19079996749621791</v>
      </c>
      <c r="AF5" s="72" t="str">
        <f>IF(OR(AE5="",AD5=""),"",IF(AE5&lt;='OS-DORAEN'!$B$6,"PASS","FAIL"))</f>
        <v>PASS</v>
      </c>
      <c r="AG5" s="78">
        <f t="shared" si="14"/>
        <v>0.52678268764263703</v>
      </c>
      <c r="AH5" s="78">
        <f t="shared" si="15"/>
        <v>0.67557130750570549</v>
      </c>
      <c r="AI5" s="78">
        <f t="shared" si="16"/>
        <v>1.3249507477301454</v>
      </c>
      <c r="AJ5" s="78">
        <f t="shared" si="17"/>
        <v>0.31926524041690252</v>
      </c>
      <c r="AK5" s="72" t="str">
        <f>IF(OR(AJ5="",AI5=""),"",IF(AJ5&lt;='OS-DORAEN'!$B$5,"PASS","FAIL"))</f>
        <v>PASS</v>
      </c>
      <c r="AL5" s="79">
        <f t="shared" si="18"/>
        <v>21.619354590937206</v>
      </c>
      <c r="AM5" s="79">
        <f t="shared" si="19"/>
        <v>50</v>
      </c>
      <c r="AN5" s="79">
        <f t="shared" si="20"/>
        <v>7.15</v>
      </c>
      <c r="AO5" s="79" t="str">
        <f t="shared" si="21"/>
        <v>PASS</v>
      </c>
      <c r="AP5" s="72" t="str">
        <f t="shared" si="22"/>
        <v>SUITABLE</v>
      </c>
      <c r="AQ5" s="72">
        <f t="shared" si="23"/>
        <v>3</v>
      </c>
      <c r="AR5" s="72" t="str">
        <f t="shared" si="24"/>
        <v>MCCB</v>
      </c>
      <c r="AS5" s="79">
        <f t="shared" si="25"/>
        <v>18.899999999999999</v>
      </c>
      <c r="AT5" s="72">
        <f>IF(AS5="","",IF(AS5&lt;=Lists!$J$2,Lists!$J$2,IFERROR(INDEX(Lists!$J$2:$J$28,IF(INDEX(Lists!$J$2:$J$28,MATCH(AS5,Lists!$J$2:$J$28,1))=AS5,MATCH(AS5,Lists!$J$2:$J$28,1),MATCH(AS5,Lists!$J$2:$J$28,1)+1)),"NO STANDARD CB")))</f>
        <v>20</v>
      </c>
      <c r="AU5" s="72" t="str">
        <f t="shared" si="26"/>
        <v>Manufacturer-specific adjustable trip unit</v>
      </c>
      <c r="AV5" s="79">
        <f t="shared" si="27"/>
        <v>18.899999999999999</v>
      </c>
      <c r="AW5" s="72" t="str">
        <f t="shared" si="28"/>
        <v>Verify manufacturer instantaneous/magnetic pickup</v>
      </c>
      <c r="AX5" s="72" t="str">
        <f t="shared" si="29"/>
        <v>VERIFY MANUFACTURER</v>
      </c>
      <c r="AY5" s="72" t="str">
        <f t="shared" si="30"/>
        <v>PASS</v>
      </c>
      <c r="AZ5" s="72" t="str">
        <f t="shared" si="31"/>
        <v>20 A MCCB; target Ir 18.9 A; manufacturer trip-unit verification required</v>
      </c>
      <c r="BA5" s="80"/>
      <c r="BB5" s="72" t="str">
        <f t="shared" si="32"/>
        <v>ENTER CB Icu/Ics</v>
      </c>
      <c r="BC5" s="72" t="str">
        <f t="shared" si="33"/>
        <v>Enter manufacturer CB Icu/Ics. Required ≥ 3.09 kA</v>
      </c>
      <c r="BD5" s="72" t="str">
        <f>IF(OR(AS5="",AT5="",AV5=""),"",IF(AND(AT5&gt;=AS5,COUNTIF(Lists!$J$2:$J$28,AT5)&gt;0,AV5&gt;=AS5,AV5&lt;=AT5),"PASS","FAIL - REVIEW MCCB FRAME/TRIP UNIT"))</f>
        <v>PASS</v>
      </c>
      <c r="BE5" s="81"/>
      <c r="BF5" s="81" t="str">
        <f t="shared" si="34"/>
        <v>XLPE</v>
      </c>
      <c r="BG5" s="81" t="str">
        <f t="shared" si="35"/>
        <v>3C</v>
      </c>
      <c r="BH5" s="81" t="str">
        <f t="shared" si="36"/>
        <v>Al</v>
      </c>
      <c r="BI5" s="82" t="str">
        <f t="shared" si="37"/>
        <v>XLPE</v>
      </c>
      <c r="BJ5" s="82" t="str">
        <f t="shared" si="38"/>
        <v>Armoured</v>
      </c>
      <c r="BK5" s="82">
        <f t="shared" si="39"/>
        <v>25</v>
      </c>
      <c r="BL5" s="82">
        <f>IFERROR(SUMIFS('Cable Data Master'!$K:$K,'Cable Data Master'!$A:$A,$BF5,'Cable Data Master'!$B:$B,$BG5,'Cable Data Master'!$C:$C,$BH5,'Cable Data Master'!$D:$D,$BI5,'Cable Data Master'!$E:$E,$BJ5,'Cable Data Master'!$F:$F,$BK5),"")</f>
        <v>1.54</v>
      </c>
      <c r="BM5" s="82">
        <f>IFERROR(SUMIFS('Cable Data Master'!$L:$L,'Cable Data Master'!$A:$A,$BF5,'Cable Data Master'!$B:$B,$BG5,'Cable Data Master'!$C:$C,$BH5,'Cable Data Master'!$D:$D,$BI5,'Cable Data Master'!$E:$E,$BJ5,'Cable Data Master'!$F:$F,$BK5),"")</f>
        <v>17.5</v>
      </c>
      <c r="BN5" s="72">
        <f>IFERROR(SUMIFS('Cable Data Master'!$G:$G,'Cable Data Master'!$A:$A,$BF5,'Cable Data Master'!$B:$B,$BG5,'Cable Data Master'!$C:$C,$BH5,'Cable Data Master'!$D:$D,$BI5,'Cable Data Master'!$E:$E,$BJ5,'Cable Data Master'!$F:$F,$BK5),"")</f>
        <v>96</v>
      </c>
      <c r="BO5" s="72">
        <f>IFERROR(SUMIFS('Cable Data Master'!$H:$H,'Cable Data Master'!$A:$A,$BF5,'Cable Data Master'!$B:$B,$BG5,'Cable Data Master'!$C:$C,$BH5,'Cable Data Master'!$D:$D,$BI5,'Cable Data Master'!$E:$E,$BJ5,'Cable Data Master'!$F:$F,$BK5),"")</f>
        <v>1.54</v>
      </c>
      <c r="BP5" s="72">
        <f>IFERROR(SUMIFS('Cable Data Master'!$I:$I,'Cable Data Master'!$A:$A,$BF5,'Cable Data Master'!$B:$B,$BG5,'Cable Data Master'!$C:$C,$BH5,'Cable Data Master'!$D:$D,$BI5,'Cable Data Master'!$E:$E,$BJ5,'Cable Data Master'!$F:$F,$BK5),"")</f>
        <v>0.08</v>
      </c>
      <c r="BQ5" s="72">
        <f>IFERROR(SUMIFS('Cable Data Master'!$J:$J,'Cable Data Master'!$A:$A,$BF5,'Cable Data Master'!$B:$B,$BG5,'Cable Data Master'!$C:$C,$BH5,'Cable Data Master'!$D:$D,$BI5,'Cable Data Master'!$E:$E,$BJ5,'Cable Data Master'!$F:$F,$BK5),"")</f>
        <v>143</v>
      </c>
      <c r="BR5" s="72"/>
      <c r="BS5" s="83"/>
      <c r="BT5" s="84"/>
    </row>
    <row r="6" spans="1:72" s="85" customFormat="1" ht="30" customHeight="1" x14ac:dyDescent="0.35">
      <c r="A6" s="72">
        <v>3</v>
      </c>
      <c r="B6" s="73" t="s">
        <v>131</v>
      </c>
      <c r="C6" s="73">
        <v>400</v>
      </c>
      <c r="D6" s="74">
        <v>4.5</v>
      </c>
      <c r="E6" s="74">
        <v>110</v>
      </c>
      <c r="F6" s="74" t="s">
        <v>134</v>
      </c>
      <c r="G6" s="75">
        <f>IF(OR(C6="",D6="",E6="",H6="",J6="",K6="",L6="",M6="",N6="",O6="",P6="",Q6="",R6="",S6=""),"",IFERROR(LOOKUP(2,1/(('AUTO ENGINE'!$A$2:$A$1201=ROW())*('AUTO ENGINE'!$M$2:$M$1201=1)),'AUTO ENGINE'!$B$2:$B$1201),"NO CABLE PASSES"))</f>
        <v>70</v>
      </c>
      <c r="H6" s="76" t="s">
        <v>133</v>
      </c>
      <c r="I6" s="77">
        <f t="shared" si="0"/>
        <v>25</v>
      </c>
      <c r="J6" s="73">
        <v>2</v>
      </c>
      <c r="K6" s="73">
        <v>415</v>
      </c>
      <c r="L6" s="73">
        <v>0.53</v>
      </c>
      <c r="M6" s="73">
        <v>0.85</v>
      </c>
      <c r="N6" s="73">
        <v>0.95399999999999996</v>
      </c>
      <c r="O6" s="73">
        <v>0.03</v>
      </c>
      <c r="P6" s="73">
        <v>1.5</v>
      </c>
      <c r="Q6" s="73">
        <v>0.3</v>
      </c>
      <c r="R6" s="78">
        <f t="shared" si="1"/>
        <v>12.366270826016082</v>
      </c>
      <c r="S6" s="73">
        <v>1</v>
      </c>
      <c r="T6" s="72">
        <f t="shared" si="2"/>
        <v>143</v>
      </c>
      <c r="U6" s="72">
        <f t="shared" si="3"/>
        <v>188.71944934264275</v>
      </c>
      <c r="V6" s="72">
        <f t="shared" si="4"/>
        <v>179</v>
      </c>
      <c r="W6" s="72">
        <f t="shared" si="5"/>
        <v>0.56699999999999995</v>
      </c>
      <c r="X6" s="72">
        <f t="shared" si="6"/>
        <v>7.6999999999999999E-2</v>
      </c>
      <c r="Y6" s="72">
        <f t="shared" si="7"/>
        <v>189.74</v>
      </c>
      <c r="Z6" s="72" t="str">
        <f t="shared" si="8"/>
        <v>PASS</v>
      </c>
      <c r="AA6" s="78">
        <f t="shared" si="9"/>
        <v>283.07917401396412</v>
      </c>
      <c r="AB6" s="78">
        <f t="shared" si="10"/>
        <v>0.95393920141694566</v>
      </c>
      <c r="AC6" s="78">
        <f t="shared" si="11"/>
        <v>0.12177665925455239</v>
      </c>
      <c r="AD6" s="78">
        <f t="shared" si="12"/>
        <v>1.7912403244053812</v>
      </c>
      <c r="AE6" s="78">
        <f t="shared" si="13"/>
        <v>0.4316241745555135</v>
      </c>
      <c r="AF6" s="72" t="str">
        <f>IF(OR(AE6="",AD6=""),"",IF(AE6&lt;='OS-DORAEN'!$B$6,"PASS","FAIL"))</f>
        <v>PASS</v>
      </c>
      <c r="AG6" s="78">
        <f t="shared" si="14"/>
        <v>0.52678268764263703</v>
      </c>
      <c r="AH6" s="78">
        <f t="shared" si="15"/>
        <v>0.26125613347424148</v>
      </c>
      <c r="AI6" s="78">
        <f t="shared" si="16"/>
        <v>2.56191689574427</v>
      </c>
      <c r="AJ6" s="78">
        <f t="shared" si="17"/>
        <v>0.61732937246849884</v>
      </c>
      <c r="AK6" s="72" t="str">
        <f>IF(OR(AJ6="",AI6=""),"",IF(AJ6&lt;='OS-DORAEN'!$B$5,"PASS","FAIL"))</f>
        <v>PASS</v>
      </c>
      <c r="AL6" s="79">
        <f t="shared" si="18"/>
        <v>86.477418363748825</v>
      </c>
      <c r="AM6" s="79">
        <f t="shared" si="19"/>
        <v>140</v>
      </c>
      <c r="AN6" s="79">
        <f t="shared" si="20"/>
        <v>20.02</v>
      </c>
      <c r="AO6" s="79" t="str">
        <f t="shared" si="21"/>
        <v>PASS</v>
      </c>
      <c r="AP6" s="72" t="str">
        <f t="shared" si="22"/>
        <v>SUITABLE</v>
      </c>
      <c r="AQ6" s="72">
        <f t="shared" si="23"/>
        <v>3</v>
      </c>
      <c r="AR6" s="72" t="str">
        <f t="shared" si="24"/>
        <v>MCCB</v>
      </c>
      <c r="AS6" s="79">
        <f t="shared" si="25"/>
        <v>188.7</v>
      </c>
      <c r="AT6" s="72">
        <f>IF(AS6="","",IF(AS6&lt;=Lists!$J$2,Lists!$J$2,IFERROR(INDEX(Lists!$J$2:$J$28,IF(INDEX(Lists!$J$2:$J$28,MATCH(AS6,Lists!$J$2:$J$28,1))=AS6,MATCH(AS6,Lists!$J$2:$J$28,1),MATCH(AS6,Lists!$J$2:$J$28,1)+1)),"NO STANDARD CB")))</f>
        <v>200</v>
      </c>
      <c r="AU6" s="72" t="str">
        <f t="shared" si="26"/>
        <v>Manufacturer-specific adjustable trip unit</v>
      </c>
      <c r="AV6" s="79">
        <f t="shared" si="27"/>
        <v>188.7</v>
      </c>
      <c r="AW6" s="72" t="str">
        <f t="shared" si="28"/>
        <v>Verify manufacturer instantaneous/magnetic pickup</v>
      </c>
      <c r="AX6" s="72" t="str">
        <f t="shared" si="29"/>
        <v>VERIFY MANUFACTURER</v>
      </c>
      <c r="AY6" s="72" t="str">
        <f t="shared" si="30"/>
        <v>PASS</v>
      </c>
      <c r="AZ6" s="72" t="str">
        <f t="shared" si="31"/>
        <v>200 A MCCB; target Ir 188.7 A; manufacturer trip-unit verification required</v>
      </c>
      <c r="BA6" s="80"/>
      <c r="BB6" s="72" t="str">
        <f t="shared" si="32"/>
        <v>ENTER CB Icu/Ics</v>
      </c>
      <c r="BC6" s="72" t="str">
        <f t="shared" si="33"/>
        <v>Enter manufacturer CB Icu/Ics. Required ≥ 12.37 kA</v>
      </c>
      <c r="BD6" s="72" t="str">
        <f>IF(OR(AS6="",AT6="",AV6=""),"",IF(AND(AT6&gt;=AS6,COUNTIF(Lists!$J$2:$J$28,AT6)&gt;0,AV6&gt;=AS6,AV6&lt;=AT6),"PASS","FAIL - REVIEW MCCB FRAME/TRIP UNIT"))</f>
        <v>PASS</v>
      </c>
      <c r="BE6" s="81"/>
      <c r="BF6" s="81" t="str">
        <f t="shared" si="34"/>
        <v>XLPE</v>
      </c>
      <c r="BG6" s="81" t="str">
        <f t="shared" si="35"/>
        <v>3C</v>
      </c>
      <c r="BH6" s="81" t="str">
        <f t="shared" si="36"/>
        <v>Al</v>
      </c>
      <c r="BI6" s="82" t="str">
        <f t="shared" si="37"/>
        <v>XLPE</v>
      </c>
      <c r="BJ6" s="82" t="str">
        <f t="shared" si="38"/>
        <v>Armoured</v>
      </c>
      <c r="BK6" s="82">
        <f t="shared" si="39"/>
        <v>70</v>
      </c>
      <c r="BL6" s="82">
        <f>IFERROR(SUMIFS('Cable Data Master'!$K:$K,'Cable Data Master'!$A:$A,$BF6,'Cable Data Master'!$B:$B,$BG6,'Cable Data Master'!$C:$C,$BH6,'Cable Data Master'!$D:$D,$BI6,'Cable Data Master'!$E:$E,$BJ6,'Cable Data Master'!$F:$F,$BK6),"")</f>
        <v>0.56699999999999995</v>
      </c>
      <c r="BM6" s="82">
        <f>IFERROR(SUMIFS('Cable Data Master'!$L:$L,'Cable Data Master'!$A:$A,$BF6,'Cable Data Master'!$B:$B,$BG6,'Cable Data Master'!$C:$C,$BH6,'Cable Data Master'!$D:$D,$BI6,'Cable Data Master'!$E:$E,$BJ6,'Cable Data Master'!$F:$F,$BK6),"")</f>
        <v>25</v>
      </c>
      <c r="BN6" s="72">
        <f>IFERROR(SUMIFS('Cable Data Master'!$G:$G,'Cable Data Master'!$A:$A,$BF6,'Cable Data Master'!$B:$B,$BG6,'Cable Data Master'!$C:$C,$BH6,'Cable Data Master'!$D:$D,$BI6,'Cable Data Master'!$E:$E,$BJ6,'Cable Data Master'!$F:$F,$BK6),"")</f>
        <v>179</v>
      </c>
      <c r="BO6" s="72">
        <f>IFERROR(SUMIFS('Cable Data Master'!$H:$H,'Cable Data Master'!$A:$A,$BF6,'Cable Data Master'!$B:$B,$BG6,'Cable Data Master'!$C:$C,$BH6,'Cable Data Master'!$D:$D,$BI6,'Cable Data Master'!$E:$E,$BJ6,'Cable Data Master'!$F:$F,$BK6),"")</f>
        <v>0.56699999999999995</v>
      </c>
      <c r="BP6" s="72">
        <f>IFERROR(SUMIFS('Cable Data Master'!$I:$I,'Cable Data Master'!$A:$A,$BF6,'Cable Data Master'!$B:$B,$BG6,'Cable Data Master'!$C:$C,$BH6,'Cable Data Master'!$D:$D,$BI6,'Cable Data Master'!$E:$E,$BJ6,'Cable Data Master'!$F:$F,$BK6),"")</f>
        <v>7.6999999999999999E-2</v>
      </c>
      <c r="BQ6" s="72">
        <f>IFERROR(SUMIFS('Cable Data Master'!$J:$J,'Cable Data Master'!$A:$A,$BF6,'Cable Data Master'!$B:$B,$BG6,'Cable Data Master'!$C:$C,$BH6,'Cable Data Master'!$D:$D,$BI6,'Cable Data Master'!$E:$E,$BJ6,'Cable Data Master'!$F:$F,$BK6),"")</f>
        <v>143</v>
      </c>
      <c r="BR6" s="72"/>
      <c r="BS6" s="83"/>
      <c r="BT6" s="84"/>
    </row>
    <row r="7" spans="1:72" s="85" customFormat="1" ht="30" customHeight="1" x14ac:dyDescent="0.35">
      <c r="A7" s="72">
        <v>4</v>
      </c>
      <c r="B7" s="73" t="s">
        <v>131</v>
      </c>
      <c r="C7" s="73">
        <v>100</v>
      </c>
      <c r="D7" s="74">
        <v>4.5</v>
      </c>
      <c r="E7" s="74">
        <v>13</v>
      </c>
      <c r="F7" s="74" t="s">
        <v>132</v>
      </c>
      <c r="G7" s="75">
        <f>IF(OR(C7="",D7="",E7="",H7="",J7="",K7="",L7="",M7="",N7="",O7="",P7="",Q7="",R7="",S7=""),"",IFERROR(LOOKUP(2,1/(('AUTO ENGINE'!$A$2:$A$1201=ROW())*('AUTO ENGINE'!$M$2:$M$1201=1)),'AUTO ENGINE'!$B$2:$B$1201),"NO CABLE PASSES"))</f>
        <v>25</v>
      </c>
      <c r="H7" s="76" t="s">
        <v>133</v>
      </c>
      <c r="I7" s="77">
        <f t="shared" si="0"/>
        <v>17.5</v>
      </c>
      <c r="J7" s="73">
        <v>1</v>
      </c>
      <c r="K7" s="73">
        <v>415</v>
      </c>
      <c r="L7" s="73">
        <v>0.53</v>
      </c>
      <c r="M7" s="73">
        <v>0.85</v>
      </c>
      <c r="N7" s="73">
        <v>0.95399999999999996</v>
      </c>
      <c r="O7" s="73">
        <v>0.03</v>
      </c>
      <c r="P7" s="73">
        <v>1.5</v>
      </c>
      <c r="Q7" s="73">
        <v>0.3</v>
      </c>
      <c r="R7" s="78">
        <f t="shared" si="1"/>
        <v>3.0915677065040206</v>
      </c>
      <c r="S7" s="73">
        <v>1</v>
      </c>
      <c r="T7" s="72">
        <f t="shared" si="2"/>
        <v>143</v>
      </c>
      <c r="U7" s="72">
        <f t="shared" si="3"/>
        <v>22.303207649585051</v>
      </c>
      <c r="V7" s="72">
        <f t="shared" si="4"/>
        <v>96</v>
      </c>
      <c r="W7" s="72">
        <f t="shared" si="5"/>
        <v>1.54</v>
      </c>
      <c r="X7" s="72">
        <f t="shared" si="6"/>
        <v>0.08</v>
      </c>
      <c r="Y7" s="72">
        <f t="shared" si="7"/>
        <v>50.88</v>
      </c>
      <c r="Z7" s="72" t="str">
        <f t="shared" si="8"/>
        <v>PASS</v>
      </c>
      <c r="AA7" s="78">
        <f t="shared" si="9"/>
        <v>33.454811474377578</v>
      </c>
      <c r="AB7" s="78">
        <f t="shared" si="10"/>
        <v>0.95393920141694566</v>
      </c>
      <c r="AC7" s="78">
        <f t="shared" si="11"/>
        <v>0.53831513611335557</v>
      </c>
      <c r="AD7" s="78">
        <f t="shared" si="12"/>
        <v>0.93578711331099607</v>
      </c>
      <c r="AE7" s="78">
        <f t="shared" si="13"/>
        <v>0.22549087067734847</v>
      </c>
      <c r="AF7" s="72" t="str">
        <f>IF(OR(AE7="",AD7=""),"",IF(AE7&lt;='OS-DORAEN'!$B$6,"PASS","FAIL"))</f>
        <v>PASS</v>
      </c>
      <c r="AG7" s="78">
        <f t="shared" si="14"/>
        <v>0.52678268764263703</v>
      </c>
      <c r="AH7" s="78">
        <f t="shared" si="15"/>
        <v>1.351142615011411</v>
      </c>
      <c r="AI7" s="78">
        <f t="shared" si="16"/>
        <v>1.5658508836810807</v>
      </c>
      <c r="AJ7" s="78">
        <f t="shared" si="17"/>
        <v>0.37731346594724835</v>
      </c>
      <c r="AK7" s="72" t="str">
        <f>IF(OR(AJ7="",AI7=""),"",IF(AJ7&lt;='OS-DORAEN'!$B$5,"PASS","FAIL"))</f>
        <v>PASS</v>
      </c>
      <c r="AL7" s="79">
        <f t="shared" si="18"/>
        <v>21.619354590937206</v>
      </c>
      <c r="AM7" s="79">
        <f t="shared" si="19"/>
        <v>25</v>
      </c>
      <c r="AN7" s="79">
        <f t="shared" si="20"/>
        <v>3.5750000000000002</v>
      </c>
      <c r="AO7" s="79" t="str">
        <f t="shared" si="21"/>
        <v>PASS</v>
      </c>
      <c r="AP7" s="72" t="str">
        <f t="shared" si="22"/>
        <v>SUITABLE</v>
      </c>
      <c r="AQ7" s="72">
        <f t="shared" si="23"/>
        <v>3</v>
      </c>
      <c r="AR7" s="72" t="str">
        <f t="shared" si="24"/>
        <v>MCCB</v>
      </c>
      <c r="AS7" s="79">
        <f t="shared" si="25"/>
        <v>22.3</v>
      </c>
      <c r="AT7" s="72">
        <f>IF(AS7="","",IF(AS7&lt;=Lists!$J$2,Lists!$J$2,IFERROR(INDEX(Lists!$J$2:$J$28,IF(INDEX(Lists!$J$2:$J$28,MATCH(AS7,Lists!$J$2:$J$28,1))=AS7,MATCH(AS7,Lists!$J$2:$J$28,1),MATCH(AS7,Lists!$J$2:$J$28,1)+1)),"NO STANDARD CB")))</f>
        <v>25</v>
      </c>
      <c r="AU7" s="72" t="str">
        <f t="shared" si="26"/>
        <v>Manufacturer-specific adjustable trip unit</v>
      </c>
      <c r="AV7" s="79">
        <f t="shared" si="27"/>
        <v>22.3</v>
      </c>
      <c r="AW7" s="72" t="str">
        <f t="shared" si="28"/>
        <v>Verify manufacturer instantaneous/magnetic pickup</v>
      </c>
      <c r="AX7" s="72" t="str">
        <f t="shared" si="29"/>
        <v>VERIFY MANUFACTURER</v>
      </c>
      <c r="AY7" s="72" t="str">
        <f t="shared" si="30"/>
        <v>PASS</v>
      </c>
      <c r="AZ7" s="72" t="str">
        <f t="shared" si="31"/>
        <v>25 A MCCB; target Ir 22.3 A; manufacturer trip-unit verification required</v>
      </c>
      <c r="BA7" s="80"/>
      <c r="BB7" s="72" t="str">
        <f t="shared" si="32"/>
        <v>ENTER CB Icu/Ics</v>
      </c>
      <c r="BC7" s="72" t="str">
        <f t="shared" si="33"/>
        <v>Enter manufacturer CB Icu/Ics. Required ≥ 3.09 kA</v>
      </c>
      <c r="BD7" s="72" t="str">
        <f>IF(OR(AS7="",AT7="",AV7=""),"",IF(AND(AT7&gt;=AS7,COUNTIF(Lists!$J$2:$J$28,AT7)&gt;0,AV7&gt;=AS7,AV7&lt;=AT7),"PASS","FAIL - REVIEW MCCB FRAME/TRIP UNIT"))</f>
        <v>PASS</v>
      </c>
      <c r="BE7" s="81"/>
      <c r="BF7" s="81" t="str">
        <f t="shared" si="34"/>
        <v>XLPE</v>
      </c>
      <c r="BG7" s="81" t="str">
        <f t="shared" si="35"/>
        <v>3C</v>
      </c>
      <c r="BH7" s="81" t="str">
        <f t="shared" si="36"/>
        <v>Al</v>
      </c>
      <c r="BI7" s="82" t="str">
        <f t="shared" si="37"/>
        <v>XLPE</v>
      </c>
      <c r="BJ7" s="82" t="str">
        <f t="shared" si="38"/>
        <v>Armoured</v>
      </c>
      <c r="BK7" s="82">
        <f t="shared" si="39"/>
        <v>25</v>
      </c>
      <c r="BL7" s="82">
        <f>IFERROR(SUMIFS('Cable Data Master'!$K:$K,'Cable Data Master'!$A:$A,$BF7,'Cable Data Master'!$B:$B,$BG7,'Cable Data Master'!$C:$C,$BH7,'Cable Data Master'!$D:$D,$BI7,'Cable Data Master'!$E:$E,$BJ7,'Cable Data Master'!$F:$F,$BK7),"")</f>
        <v>1.54</v>
      </c>
      <c r="BM7" s="82">
        <f>IFERROR(SUMIFS('Cable Data Master'!$L:$L,'Cable Data Master'!$A:$A,$BF7,'Cable Data Master'!$B:$B,$BG7,'Cable Data Master'!$C:$C,$BH7,'Cable Data Master'!$D:$D,$BI7,'Cable Data Master'!$E:$E,$BJ7,'Cable Data Master'!$F:$F,$BK7),"")</f>
        <v>17.5</v>
      </c>
      <c r="BN7" s="72">
        <f>IFERROR(SUMIFS('Cable Data Master'!$G:$G,'Cable Data Master'!$A:$A,$BF7,'Cable Data Master'!$B:$B,$BG7,'Cable Data Master'!$C:$C,$BH7,'Cable Data Master'!$D:$D,$BI7,'Cable Data Master'!$E:$E,$BJ7,'Cable Data Master'!$F:$F,$BK7),"")</f>
        <v>96</v>
      </c>
      <c r="BO7" s="72">
        <f>IFERROR(SUMIFS('Cable Data Master'!$H:$H,'Cable Data Master'!$A:$A,$BF7,'Cable Data Master'!$B:$B,$BG7,'Cable Data Master'!$C:$C,$BH7,'Cable Data Master'!$D:$D,$BI7,'Cable Data Master'!$E:$E,$BJ7,'Cable Data Master'!$F:$F,$BK7),"")</f>
        <v>1.54</v>
      </c>
      <c r="BP7" s="72">
        <f>IFERROR(SUMIFS('Cable Data Master'!$I:$I,'Cable Data Master'!$A:$A,$BF7,'Cable Data Master'!$B:$B,$BG7,'Cable Data Master'!$C:$C,$BH7,'Cable Data Master'!$D:$D,$BI7,'Cable Data Master'!$E:$E,$BJ7,'Cable Data Master'!$F:$F,$BK7),"")</f>
        <v>0.08</v>
      </c>
      <c r="BQ7" s="72">
        <f>IFERROR(SUMIFS('Cable Data Master'!$J:$J,'Cable Data Master'!$A:$A,$BF7,'Cable Data Master'!$B:$B,$BG7,'Cable Data Master'!$C:$C,$BH7,'Cable Data Master'!$D:$D,$BI7,'Cable Data Master'!$E:$E,$BJ7,'Cable Data Master'!$F:$F,$BK7),"")</f>
        <v>143</v>
      </c>
      <c r="BR7" s="72"/>
      <c r="BS7" s="83"/>
      <c r="BT7" s="84"/>
    </row>
    <row r="8" spans="1:72" s="85" customFormat="1" ht="30" customHeight="1" x14ac:dyDescent="0.35">
      <c r="A8" s="72">
        <v>5</v>
      </c>
      <c r="B8" s="73" t="s">
        <v>131</v>
      </c>
      <c r="C8" s="73">
        <v>400</v>
      </c>
      <c r="D8" s="74">
        <v>4.5</v>
      </c>
      <c r="E8" s="74">
        <v>55</v>
      </c>
      <c r="F8" s="74" t="s">
        <v>134</v>
      </c>
      <c r="G8" s="75">
        <f>IF(OR(C8="",D8="",E8="",H8="",J8="",K8="",L8="",M8="",N8="",O8="",P8="",Q8="",R8="",S8=""),"",IFERROR(LOOKUP(2,1/(('AUTO ENGINE'!$A$2:$A$1201=ROW())*('AUTO ENGINE'!$M$2:$M$1201=1)),'AUTO ENGINE'!$B$2:$B$1201),"NO CABLE PASSES"))</f>
        <v>50</v>
      </c>
      <c r="H8" s="76" t="s">
        <v>133</v>
      </c>
      <c r="I8" s="77">
        <f t="shared" si="0"/>
        <v>22</v>
      </c>
      <c r="J8" s="73">
        <v>2</v>
      </c>
      <c r="K8" s="73">
        <v>415</v>
      </c>
      <c r="L8" s="73">
        <v>0.53</v>
      </c>
      <c r="M8" s="73">
        <v>0.85</v>
      </c>
      <c r="N8" s="73">
        <v>0.95399999999999996</v>
      </c>
      <c r="O8" s="73">
        <v>0.1</v>
      </c>
      <c r="P8" s="73">
        <v>1.5</v>
      </c>
      <c r="Q8" s="73">
        <v>0.3</v>
      </c>
      <c r="R8" s="78">
        <f t="shared" si="1"/>
        <v>12.366270826016082</v>
      </c>
      <c r="S8" s="73">
        <v>1</v>
      </c>
      <c r="T8" s="72">
        <f t="shared" si="2"/>
        <v>143</v>
      </c>
      <c r="U8" s="72">
        <f t="shared" si="3"/>
        <v>94.359724671321374</v>
      </c>
      <c r="V8" s="72">
        <f t="shared" si="4"/>
        <v>142</v>
      </c>
      <c r="W8" s="72">
        <f t="shared" si="5"/>
        <v>0.82</v>
      </c>
      <c r="X8" s="72">
        <f t="shared" si="6"/>
        <v>7.8E-2</v>
      </c>
      <c r="Y8" s="72">
        <f t="shared" si="7"/>
        <v>150.52000000000001</v>
      </c>
      <c r="Z8" s="72" t="str">
        <f t="shared" si="8"/>
        <v>PASS</v>
      </c>
      <c r="AA8" s="78">
        <f t="shared" si="9"/>
        <v>141.53958700698206</v>
      </c>
      <c r="AB8" s="78">
        <f t="shared" si="10"/>
        <v>0.95393920141694566</v>
      </c>
      <c r="AC8" s="78">
        <f t="shared" si="11"/>
        <v>0.16020362885526085</v>
      </c>
      <c r="AD8" s="78">
        <f t="shared" si="12"/>
        <v>3.9274521335238166</v>
      </c>
      <c r="AE8" s="78">
        <f t="shared" si="13"/>
        <v>0.94637400807802818</v>
      </c>
      <c r="AF8" s="72" t="str">
        <f>IF(OR(AE8="",AD8=""),"",IF(AE8&lt;='OS-DORAEN'!$B$6,"PASS","FAIL"))</f>
        <v>PASS</v>
      </c>
      <c r="AG8" s="78">
        <f t="shared" si="14"/>
        <v>0.52678268764263703</v>
      </c>
      <c r="AH8" s="78">
        <f t="shared" si="15"/>
        <v>0.36904452481806282</v>
      </c>
      <c r="AI8" s="78">
        <f t="shared" si="16"/>
        <v>6.0315100921610103</v>
      </c>
      <c r="AJ8" s="78">
        <f t="shared" si="17"/>
        <v>1.4533759258219303</v>
      </c>
      <c r="AK8" s="72" t="str">
        <f>IF(OR(AJ8="",AI8=""),"",IF(AJ8&lt;='OS-DORAEN'!$B$5,"PASS","FAIL"))</f>
        <v>PASS</v>
      </c>
      <c r="AL8" s="79">
        <f t="shared" si="18"/>
        <v>86.477418363748825</v>
      </c>
      <c r="AM8" s="79">
        <f t="shared" si="19"/>
        <v>100</v>
      </c>
      <c r="AN8" s="79">
        <f t="shared" si="20"/>
        <v>14.3</v>
      </c>
      <c r="AO8" s="79" t="str">
        <f t="shared" si="21"/>
        <v>PASS</v>
      </c>
      <c r="AP8" s="72" t="str">
        <f t="shared" si="22"/>
        <v>SUITABLE</v>
      </c>
      <c r="AQ8" s="72">
        <f t="shared" si="23"/>
        <v>3</v>
      </c>
      <c r="AR8" s="72" t="str">
        <f t="shared" si="24"/>
        <v>MCCB</v>
      </c>
      <c r="AS8" s="79">
        <f t="shared" si="25"/>
        <v>94.4</v>
      </c>
      <c r="AT8" s="72">
        <f>IF(AS8="","",IF(AS8&lt;=Lists!$J$2,Lists!$J$2,IFERROR(INDEX(Lists!$J$2:$J$28,IF(INDEX(Lists!$J$2:$J$28,MATCH(AS8,Lists!$J$2:$J$28,1))=AS8,MATCH(AS8,Lists!$J$2:$J$28,1),MATCH(AS8,Lists!$J$2:$J$28,1)+1)),"NO STANDARD CB")))</f>
        <v>100</v>
      </c>
      <c r="AU8" s="72" t="str">
        <f t="shared" si="26"/>
        <v>Manufacturer-specific adjustable trip unit</v>
      </c>
      <c r="AV8" s="79">
        <f t="shared" si="27"/>
        <v>94.4</v>
      </c>
      <c r="AW8" s="72" t="str">
        <f t="shared" si="28"/>
        <v>Verify manufacturer instantaneous/magnetic pickup</v>
      </c>
      <c r="AX8" s="72" t="str">
        <f t="shared" si="29"/>
        <v>VERIFY MANUFACTURER</v>
      </c>
      <c r="AY8" s="72" t="str">
        <f t="shared" si="30"/>
        <v>PASS</v>
      </c>
      <c r="AZ8" s="72" t="str">
        <f t="shared" si="31"/>
        <v>100 A MCCB; target Ir 94.4 A; manufacturer trip-unit verification required</v>
      </c>
      <c r="BA8" s="80"/>
      <c r="BB8" s="72" t="str">
        <f t="shared" si="32"/>
        <v>ENTER CB Icu/Ics</v>
      </c>
      <c r="BC8" s="72" t="str">
        <f t="shared" si="33"/>
        <v>Enter manufacturer CB Icu/Ics. Required ≥ 12.37 kA</v>
      </c>
      <c r="BD8" s="72" t="str">
        <f>IF(OR(AS8="",AT8="",AV8=""),"",IF(AND(AT8&gt;=AS8,COUNTIF(Lists!$J$2:$J$28,AT8)&gt;0,AV8&gt;=AS8,AV8&lt;=AT8),"PASS","FAIL - REVIEW MCCB FRAME/TRIP UNIT"))</f>
        <v>PASS</v>
      </c>
      <c r="BE8" s="81"/>
      <c r="BF8" s="81" t="str">
        <f t="shared" si="34"/>
        <v>XLPE</v>
      </c>
      <c r="BG8" s="81" t="str">
        <f t="shared" si="35"/>
        <v>3C</v>
      </c>
      <c r="BH8" s="81" t="str">
        <f t="shared" si="36"/>
        <v>Al</v>
      </c>
      <c r="BI8" s="82" t="str">
        <f t="shared" si="37"/>
        <v>XLPE</v>
      </c>
      <c r="BJ8" s="82" t="str">
        <f t="shared" si="38"/>
        <v>Armoured</v>
      </c>
      <c r="BK8" s="82">
        <f t="shared" si="39"/>
        <v>50</v>
      </c>
      <c r="BL8" s="82">
        <f>IFERROR(SUMIFS('Cable Data Master'!$K:$K,'Cable Data Master'!$A:$A,$BF8,'Cable Data Master'!$B:$B,$BG8,'Cable Data Master'!$C:$C,$BH8,'Cable Data Master'!$D:$D,$BI8,'Cable Data Master'!$E:$E,$BJ8,'Cable Data Master'!$F:$F,$BK8),"")</f>
        <v>0.82</v>
      </c>
      <c r="BM8" s="82">
        <f>IFERROR(SUMIFS('Cable Data Master'!$L:$L,'Cable Data Master'!$A:$A,$BF8,'Cable Data Master'!$B:$B,$BG8,'Cable Data Master'!$C:$C,$BH8,'Cable Data Master'!$D:$D,$BI8,'Cable Data Master'!$E:$E,$BJ8,'Cable Data Master'!$F:$F,$BK8),"")</f>
        <v>22</v>
      </c>
      <c r="BN8" s="72">
        <f>IFERROR(SUMIFS('Cable Data Master'!$G:$G,'Cable Data Master'!$A:$A,$BF8,'Cable Data Master'!$B:$B,$BG8,'Cable Data Master'!$C:$C,$BH8,'Cable Data Master'!$D:$D,$BI8,'Cable Data Master'!$E:$E,$BJ8,'Cable Data Master'!$F:$F,$BK8),"")</f>
        <v>142</v>
      </c>
      <c r="BO8" s="72">
        <f>IFERROR(SUMIFS('Cable Data Master'!$H:$H,'Cable Data Master'!$A:$A,$BF8,'Cable Data Master'!$B:$B,$BG8,'Cable Data Master'!$C:$C,$BH8,'Cable Data Master'!$D:$D,$BI8,'Cable Data Master'!$E:$E,$BJ8,'Cable Data Master'!$F:$F,$BK8),"")</f>
        <v>0.82</v>
      </c>
      <c r="BP8" s="72">
        <f>IFERROR(SUMIFS('Cable Data Master'!$I:$I,'Cable Data Master'!$A:$A,$BF8,'Cable Data Master'!$B:$B,$BG8,'Cable Data Master'!$C:$C,$BH8,'Cable Data Master'!$D:$D,$BI8,'Cable Data Master'!$E:$E,$BJ8,'Cable Data Master'!$F:$F,$BK8),"")</f>
        <v>7.8E-2</v>
      </c>
      <c r="BQ8" s="72">
        <f>IFERROR(SUMIFS('Cable Data Master'!$J:$J,'Cable Data Master'!$A:$A,$BF8,'Cable Data Master'!$B:$B,$BG8,'Cable Data Master'!$C:$C,$BH8,'Cable Data Master'!$D:$D,$BI8,'Cable Data Master'!$E:$E,$BJ8,'Cable Data Master'!$F:$F,$BK8),"")</f>
        <v>143</v>
      </c>
      <c r="BR8" s="72"/>
      <c r="BS8" s="83"/>
      <c r="BT8" s="84"/>
    </row>
    <row r="9" spans="1:72" s="85" customFormat="1" ht="30" customHeight="1" x14ac:dyDescent="0.35">
      <c r="A9" s="72">
        <v>6</v>
      </c>
      <c r="B9" s="73" t="s">
        <v>131</v>
      </c>
      <c r="C9" s="73">
        <v>250</v>
      </c>
      <c r="D9" s="74">
        <v>4.5</v>
      </c>
      <c r="E9" s="74">
        <v>70</v>
      </c>
      <c r="F9" s="74" t="s">
        <v>132</v>
      </c>
      <c r="G9" s="75">
        <f>IF(OR(C9="",D9="",E9="",H9="",J9="",K9="",L9="",M9="",N9="",O9="",P9="",Q9="",R9="",S9=""),"",IFERROR(LOOKUP(2,1/(('AUTO ENGINE'!$A$2:$A$1201=ROW())*('AUTO ENGINE'!$M$2:$M$1201=1)),'AUTO ENGINE'!$B$2:$B$1201),"NO CABLE PASSES"))</f>
        <v>35</v>
      </c>
      <c r="H9" s="76" t="s">
        <v>133</v>
      </c>
      <c r="I9" s="77">
        <f t="shared" si="0"/>
        <v>19</v>
      </c>
      <c r="J9" s="73">
        <v>2</v>
      </c>
      <c r="K9" s="73">
        <v>415</v>
      </c>
      <c r="L9" s="73">
        <v>0.53</v>
      </c>
      <c r="M9" s="73">
        <v>0.85</v>
      </c>
      <c r="N9" s="73">
        <v>0.95399999999999996</v>
      </c>
      <c r="O9" s="73">
        <v>0.06</v>
      </c>
      <c r="P9" s="73">
        <v>1.5</v>
      </c>
      <c r="Q9" s="73">
        <v>0.3</v>
      </c>
      <c r="R9" s="78">
        <f t="shared" si="1"/>
        <v>7.7289192662600508</v>
      </c>
      <c r="S9" s="73">
        <v>1</v>
      </c>
      <c r="T9" s="72">
        <f t="shared" si="2"/>
        <v>143</v>
      </c>
      <c r="U9" s="72">
        <f t="shared" si="3"/>
        <v>120.09419503622721</v>
      </c>
      <c r="V9" s="72">
        <f t="shared" si="4"/>
        <v>117</v>
      </c>
      <c r="W9" s="72">
        <f t="shared" si="5"/>
        <v>1.1100000000000001</v>
      </c>
      <c r="X9" s="72">
        <f t="shared" si="6"/>
        <v>0.08</v>
      </c>
      <c r="Y9" s="72">
        <f t="shared" si="7"/>
        <v>124.02000000000001</v>
      </c>
      <c r="Z9" s="72" t="str">
        <f t="shared" si="8"/>
        <v>PASS</v>
      </c>
      <c r="AA9" s="78">
        <f t="shared" si="9"/>
        <v>180.14129255434079</v>
      </c>
      <c r="AB9" s="78">
        <f t="shared" si="10"/>
        <v>0.95393920141694566</v>
      </c>
      <c r="AC9" s="78">
        <f t="shared" si="11"/>
        <v>0.20465756805667784</v>
      </c>
      <c r="AD9" s="78">
        <f t="shared" si="12"/>
        <v>3.8313600053401027</v>
      </c>
      <c r="AE9" s="78">
        <f t="shared" si="13"/>
        <v>0.92321927839520546</v>
      </c>
      <c r="AF9" s="72" t="str">
        <f>IF(OR(AE9="",AD9=""),"",IF(AE9&lt;='OS-DORAEN'!$B$6,"PASS","FAIL"))</f>
        <v>PASS</v>
      </c>
      <c r="AG9" s="78">
        <f t="shared" si="14"/>
        <v>0.52678268764263703</v>
      </c>
      <c r="AH9" s="78">
        <f t="shared" si="15"/>
        <v>0.49282130750570546</v>
      </c>
      <c r="AI9" s="78">
        <f t="shared" si="16"/>
        <v>6.1506833594799852</v>
      </c>
      <c r="AJ9" s="78">
        <f t="shared" si="17"/>
        <v>1.4820923757783095</v>
      </c>
      <c r="AK9" s="72" t="str">
        <f>IF(OR(AJ9="",AI9=""),"",IF(AJ9&lt;='OS-DORAEN'!$B$5,"PASS","FAIL"))</f>
        <v>PASS</v>
      </c>
      <c r="AL9" s="79">
        <f t="shared" si="18"/>
        <v>54.048386477343016</v>
      </c>
      <c r="AM9" s="79">
        <f t="shared" si="19"/>
        <v>70</v>
      </c>
      <c r="AN9" s="79">
        <f t="shared" si="20"/>
        <v>10.01</v>
      </c>
      <c r="AO9" s="79" t="str">
        <f t="shared" si="21"/>
        <v>PASS</v>
      </c>
      <c r="AP9" s="72" t="str">
        <f t="shared" si="22"/>
        <v>SUITABLE</v>
      </c>
      <c r="AQ9" s="72">
        <f t="shared" si="23"/>
        <v>3</v>
      </c>
      <c r="AR9" s="72" t="str">
        <f t="shared" si="24"/>
        <v>MCCB</v>
      </c>
      <c r="AS9" s="79">
        <f t="shared" si="25"/>
        <v>120.1</v>
      </c>
      <c r="AT9" s="72">
        <f>IF(AS9="","",IF(AS9&lt;=Lists!$J$2,Lists!$J$2,IFERROR(INDEX(Lists!$J$2:$J$28,IF(INDEX(Lists!$J$2:$J$28,MATCH(AS9,Lists!$J$2:$J$28,1))=AS9,MATCH(AS9,Lists!$J$2:$J$28,1),MATCH(AS9,Lists!$J$2:$J$28,1)+1)),"NO STANDARD CB")))</f>
        <v>125</v>
      </c>
      <c r="AU9" s="72" t="str">
        <f t="shared" si="26"/>
        <v>Manufacturer-specific adjustable trip unit</v>
      </c>
      <c r="AV9" s="79">
        <f t="shared" si="27"/>
        <v>120.1</v>
      </c>
      <c r="AW9" s="72" t="str">
        <f t="shared" si="28"/>
        <v>Verify manufacturer instantaneous/magnetic pickup</v>
      </c>
      <c r="AX9" s="72" t="str">
        <f t="shared" si="29"/>
        <v>VERIFY MANUFACTURER</v>
      </c>
      <c r="AY9" s="72" t="str">
        <f t="shared" si="30"/>
        <v>PASS</v>
      </c>
      <c r="AZ9" s="72" t="str">
        <f t="shared" si="31"/>
        <v>125 A MCCB; target Ir 120.1 A; manufacturer trip-unit verification required</v>
      </c>
      <c r="BA9" s="80"/>
      <c r="BB9" s="72" t="str">
        <f t="shared" si="32"/>
        <v>ENTER CB Icu/Ics</v>
      </c>
      <c r="BC9" s="72" t="str">
        <f t="shared" si="33"/>
        <v>Enter manufacturer CB Icu/Ics. Required ≥ 7.73 kA</v>
      </c>
      <c r="BD9" s="72" t="str">
        <f>IF(OR(AS9="",AT9="",AV9=""),"",IF(AND(AT9&gt;=AS9,COUNTIF(Lists!$J$2:$J$28,AT9)&gt;0,AV9&gt;=AS9,AV9&lt;=AT9),"PASS","FAIL - REVIEW MCCB FRAME/TRIP UNIT"))</f>
        <v>PASS</v>
      </c>
      <c r="BE9" s="81"/>
      <c r="BF9" s="81" t="str">
        <f t="shared" si="34"/>
        <v>XLPE</v>
      </c>
      <c r="BG9" s="81" t="str">
        <f t="shared" si="35"/>
        <v>3C</v>
      </c>
      <c r="BH9" s="81" t="str">
        <f t="shared" si="36"/>
        <v>Al</v>
      </c>
      <c r="BI9" s="82" t="str">
        <f t="shared" si="37"/>
        <v>XLPE</v>
      </c>
      <c r="BJ9" s="82" t="str">
        <f t="shared" si="38"/>
        <v>Armoured</v>
      </c>
      <c r="BK9" s="82">
        <f t="shared" si="39"/>
        <v>35</v>
      </c>
      <c r="BL9" s="82">
        <f>IFERROR(SUMIFS('Cable Data Master'!$K:$K,'Cable Data Master'!$A:$A,$BF9,'Cable Data Master'!$B:$B,$BG9,'Cable Data Master'!$C:$C,$BH9,'Cable Data Master'!$D:$D,$BI9,'Cable Data Master'!$E:$E,$BJ9,'Cable Data Master'!$F:$F,$BK9),"")</f>
        <v>1.1100000000000001</v>
      </c>
      <c r="BM9" s="82">
        <f>IFERROR(SUMIFS('Cable Data Master'!$L:$L,'Cable Data Master'!$A:$A,$BF9,'Cable Data Master'!$B:$B,$BG9,'Cable Data Master'!$C:$C,$BH9,'Cable Data Master'!$D:$D,$BI9,'Cable Data Master'!$E:$E,$BJ9,'Cable Data Master'!$F:$F,$BK9),"")</f>
        <v>19</v>
      </c>
      <c r="BN9" s="72">
        <f>IFERROR(SUMIFS('Cable Data Master'!$G:$G,'Cable Data Master'!$A:$A,$BF9,'Cable Data Master'!$B:$B,$BG9,'Cable Data Master'!$C:$C,$BH9,'Cable Data Master'!$D:$D,$BI9,'Cable Data Master'!$E:$E,$BJ9,'Cable Data Master'!$F:$F,$BK9),"")</f>
        <v>117</v>
      </c>
      <c r="BO9" s="72">
        <f>IFERROR(SUMIFS('Cable Data Master'!$H:$H,'Cable Data Master'!$A:$A,$BF9,'Cable Data Master'!$B:$B,$BG9,'Cable Data Master'!$C:$C,$BH9,'Cable Data Master'!$D:$D,$BI9,'Cable Data Master'!$E:$E,$BJ9,'Cable Data Master'!$F:$F,$BK9),"")</f>
        <v>1.1100000000000001</v>
      </c>
      <c r="BP9" s="72">
        <f>IFERROR(SUMIFS('Cable Data Master'!$I:$I,'Cable Data Master'!$A:$A,$BF9,'Cable Data Master'!$B:$B,$BG9,'Cable Data Master'!$C:$C,$BH9,'Cable Data Master'!$D:$D,$BI9,'Cable Data Master'!$E:$E,$BJ9,'Cable Data Master'!$F:$F,$BK9),"")</f>
        <v>0.08</v>
      </c>
      <c r="BQ9" s="72">
        <f>IFERROR(SUMIFS('Cable Data Master'!$J:$J,'Cable Data Master'!$A:$A,$BF9,'Cable Data Master'!$B:$B,$BG9,'Cable Data Master'!$C:$C,$BH9,'Cable Data Master'!$D:$D,$BI9,'Cable Data Master'!$E:$E,$BJ9,'Cable Data Master'!$F:$F,$BK9),"")</f>
        <v>143</v>
      </c>
      <c r="BR9" s="72"/>
      <c r="BS9" s="83"/>
      <c r="BT9" s="84"/>
    </row>
    <row r="10" spans="1:72" s="85" customFormat="1" ht="30" customHeight="1" x14ac:dyDescent="0.35">
      <c r="A10" s="72">
        <v>7</v>
      </c>
      <c r="B10" s="73" t="s">
        <v>131</v>
      </c>
      <c r="C10" s="73">
        <v>400</v>
      </c>
      <c r="D10" s="74">
        <v>4.5</v>
      </c>
      <c r="E10" s="74">
        <v>110</v>
      </c>
      <c r="F10" s="74" t="s">
        <v>132</v>
      </c>
      <c r="G10" s="75">
        <f>IF(OR(C10="",D10="",E10="",H10="",J10="",K10="",L10="",M10="",N10="",O10="",P10="",Q10="",R10="",S10=""),"",IFERROR(LOOKUP(2,1/(('AUTO ENGINE'!$A$2:$A$1201=ROW())*('AUTO ENGINE'!$M$2:$M$1201=1)),'AUTO ENGINE'!$B$2:$B$1201),"NO CABLE PASSES"))</f>
        <v>240</v>
      </c>
      <c r="H10" s="76" t="s">
        <v>133</v>
      </c>
      <c r="I10" s="77">
        <f t="shared" si="0"/>
        <v>43</v>
      </c>
      <c r="J10" s="73">
        <v>1</v>
      </c>
      <c r="K10" s="73">
        <v>415</v>
      </c>
      <c r="L10" s="73">
        <v>0.53</v>
      </c>
      <c r="M10" s="73">
        <v>0.85</v>
      </c>
      <c r="N10" s="73">
        <v>0.95399999999999996</v>
      </c>
      <c r="O10" s="73">
        <v>0.06</v>
      </c>
      <c r="P10" s="73">
        <v>1.5</v>
      </c>
      <c r="Q10" s="73">
        <v>0.3</v>
      </c>
      <c r="R10" s="78">
        <f t="shared" si="1"/>
        <v>12.366270826016082</v>
      </c>
      <c r="S10" s="73">
        <v>1</v>
      </c>
      <c r="T10" s="72">
        <f t="shared" si="2"/>
        <v>143</v>
      </c>
      <c r="U10" s="72">
        <f t="shared" si="3"/>
        <v>188.71944934264275</v>
      </c>
      <c r="V10" s="72">
        <f t="shared" si="4"/>
        <v>399</v>
      </c>
      <c r="W10" s="72">
        <f t="shared" si="5"/>
        <v>0.16200000000000001</v>
      </c>
      <c r="X10" s="72">
        <f t="shared" si="6"/>
        <v>7.1999999999999995E-2</v>
      </c>
      <c r="Y10" s="72">
        <f t="shared" si="7"/>
        <v>211.47</v>
      </c>
      <c r="Z10" s="72" t="str">
        <f t="shared" si="8"/>
        <v>PASS</v>
      </c>
      <c r="AA10" s="78">
        <f t="shared" si="9"/>
        <v>283.07917401396412</v>
      </c>
      <c r="AB10" s="78">
        <f t="shared" si="10"/>
        <v>0.95393920141694566</v>
      </c>
      <c r="AC10" s="78">
        <f t="shared" si="11"/>
        <v>0.11728362250202007</v>
      </c>
      <c r="AD10" s="78">
        <f t="shared" si="12"/>
        <v>3.4503024685348826</v>
      </c>
      <c r="AE10" s="78">
        <f t="shared" si="13"/>
        <v>0.83139818518912834</v>
      </c>
      <c r="AF10" s="72" t="str">
        <f>IF(OR(AE10="",AD10=""),"",IF(AE10&lt;='OS-DORAEN'!$B$6,"PASS","FAIL"))</f>
        <v>PASS</v>
      </c>
      <c r="AG10" s="78">
        <f t="shared" si="14"/>
        <v>0.52678268764263703</v>
      </c>
      <c r="AH10" s="78">
        <f t="shared" si="15"/>
        <v>0.17562835351026984</v>
      </c>
      <c r="AI10" s="78">
        <f t="shared" si="16"/>
        <v>3.4444760415477105</v>
      </c>
      <c r="AJ10" s="78">
        <f t="shared" si="17"/>
        <v>0.8299942268789664</v>
      </c>
      <c r="AK10" s="72" t="str">
        <f>IF(OR(AJ10="",AI10=""),"",IF(AJ10&lt;='OS-DORAEN'!$B$5,"PASS","FAIL"))</f>
        <v>PASS</v>
      </c>
      <c r="AL10" s="79">
        <f t="shared" si="18"/>
        <v>86.477418363748825</v>
      </c>
      <c r="AM10" s="79">
        <f t="shared" si="19"/>
        <v>240</v>
      </c>
      <c r="AN10" s="79">
        <f t="shared" si="20"/>
        <v>34.32</v>
      </c>
      <c r="AO10" s="79" t="str">
        <f t="shared" si="21"/>
        <v>PASS</v>
      </c>
      <c r="AP10" s="72" t="str">
        <f t="shared" si="22"/>
        <v>SUITABLE</v>
      </c>
      <c r="AQ10" s="72">
        <f t="shared" si="23"/>
        <v>3</v>
      </c>
      <c r="AR10" s="72" t="str">
        <f t="shared" si="24"/>
        <v>MCCB</v>
      </c>
      <c r="AS10" s="79">
        <f t="shared" si="25"/>
        <v>188.7</v>
      </c>
      <c r="AT10" s="72">
        <f>IF(AS10="","",IF(AS10&lt;=Lists!$J$2,Lists!$J$2,IFERROR(INDEX(Lists!$J$2:$J$28,IF(INDEX(Lists!$J$2:$J$28,MATCH(AS10,Lists!$J$2:$J$28,1))=AS10,MATCH(AS10,Lists!$J$2:$J$28,1),MATCH(AS10,Lists!$J$2:$J$28,1)+1)),"NO STANDARD CB")))</f>
        <v>200</v>
      </c>
      <c r="AU10" s="72" t="str">
        <f t="shared" si="26"/>
        <v>Manufacturer-specific adjustable trip unit</v>
      </c>
      <c r="AV10" s="79">
        <f t="shared" si="27"/>
        <v>188.7</v>
      </c>
      <c r="AW10" s="72" t="str">
        <f t="shared" si="28"/>
        <v>Verify manufacturer instantaneous/magnetic pickup</v>
      </c>
      <c r="AX10" s="72" t="str">
        <f t="shared" si="29"/>
        <v>VERIFY MANUFACTURER</v>
      </c>
      <c r="AY10" s="72" t="str">
        <f t="shared" si="30"/>
        <v>PASS</v>
      </c>
      <c r="AZ10" s="72" t="str">
        <f t="shared" si="31"/>
        <v>200 A MCCB; target Ir 188.7 A; manufacturer trip-unit verification required</v>
      </c>
      <c r="BA10" s="80"/>
      <c r="BB10" s="72" t="str">
        <f t="shared" si="32"/>
        <v>ENTER CB Icu/Ics</v>
      </c>
      <c r="BC10" s="72" t="str">
        <f t="shared" si="33"/>
        <v>Enter manufacturer CB Icu/Ics. Required ≥ 12.37 kA</v>
      </c>
      <c r="BD10" s="72" t="str">
        <f>IF(OR(AS10="",AT10="",AV10=""),"",IF(AND(AT10&gt;=AS10,COUNTIF(Lists!$J$2:$J$28,AT10)&gt;0,AV10&gt;=AS10,AV10&lt;=AT10),"PASS","FAIL - REVIEW MCCB FRAME/TRIP UNIT"))</f>
        <v>PASS</v>
      </c>
      <c r="BE10" s="81"/>
      <c r="BF10" s="81" t="str">
        <f t="shared" si="34"/>
        <v>XLPE</v>
      </c>
      <c r="BG10" s="81" t="str">
        <f t="shared" si="35"/>
        <v>3C</v>
      </c>
      <c r="BH10" s="81" t="str">
        <f t="shared" si="36"/>
        <v>Al</v>
      </c>
      <c r="BI10" s="82" t="str">
        <f t="shared" si="37"/>
        <v>XLPE</v>
      </c>
      <c r="BJ10" s="82" t="str">
        <f t="shared" si="38"/>
        <v>Armoured</v>
      </c>
      <c r="BK10" s="82">
        <f t="shared" si="39"/>
        <v>240</v>
      </c>
      <c r="BL10" s="82">
        <f>IFERROR(SUMIFS('Cable Data Master'!$K:$K,'Cable Data Master'!$A:$A,$BF10,'Cable Data Master'!$B:$B,$BG10,'Cable Data Master'!$C:$C,$BH10,'Cable Data Master'!$D:$D,$BI10,'Cable Data Master'!$E:$E,$BJ10,'Cable Data Master'!$F:$F,$BK10),"")</f>
        <v>0.16200000000000001</v>
      </c>
      <c r="BM10" s="82">
        <f>IFERROR(SUMIFS('Cable Data Master'!$L:$L,'Cable Data Master'!$A:$A,$BF10,'Cable Data Master'!$B:$B,$BG10,'Cable Data Master'!$C:$C,$BH10,'Cable Data Master'!$D:$D,$BI10,'Cable Data Master'!$E:$E,$BJ10,'Cable Data Master'!$F:$F,$BK10),"")</f>
        <v>43</v>
      </c>
      <c r="BN10" s="72">
        <f>IFERROR(SUMIFS('Cable Data Master'!$G:$G,'Cable Data Master'!$A:$A,$BF10,'Cable Data Master'!$B:$B,$BG10,'Cable Data Master'!$C:$C,$BH10,'Cable Data Master'!$D:$D,$BI10,'Cable Data Master'!$E:$E,$BJ10,'Cable Data Master'!$F:$F,$BK10),"")</f>
        <v>399</v>
      </c>
      <c r="BO10" s="72">
        <f>IFERROR(SUMIFS('Cable Data Master'!$H:$H,'Cable Data Master'!$A:$A,$BF10,'Cable Data Master'!$B:$B,$BG10,'Cable Data Master'!$C:$C,$BH10,'Cable Data Master'!$D:$D,$BI10,'Cable Data Master'!$E:$E,$BJ10,'Cable Data Master'!$F:$F,$BK10),"")</f>
        <v>0.16200000000000001</v>
      </c>
      <c r="BP10" s="72">
        <f>IFERROR(SUMIFS('Cable Data Master'!$I:$I,'Cable Data Master'!$A:$A,$BF10,'Cable Data Master'!$B:$B,$BG10,'Cable Data Master'!$C:$C,$BH10,'Cable Data Master'!$D:$D,$BI10,'Cable Data Master'!$E:$E,$BJ10,'Cable Data Master'!$F:$F,$BK10),"")</f>
        <v>7.1999999999999995E-2</v>
      </c>
      <c r="BQ10" s="72">
        <f>IFERROR(SUMIFS('Cable Data Master'!$J:$J,'Cable Data Master'!$A:$A,$BF10,'Cable Data Master'!$B:$B,$BG10,'Cable Data Master'!$C:$C,$BH10,'Cable Data Master'!$D:$D,$BI10,'Cable Data Master'!$E:$E,$BJ10,'Cable Data Master'!$F:$F,$BK10),"")</f>
        <v>143</v>
      </c>
      <c r="BR10" s="72"/>
      <c r="BS10" s="83"/>
      <c r="BT10" s="84"/>
    </row>
    <row r="11" spans="1:72" s="85" customFormat="1" ht="30" customHeight="1" x14ac:dyDescent="0.35">
      <c r="A11" s="72">
        <v>8</v>
      </c>
      <c r="B11" s="73" t="s">
        <v>135</v>
      </c>
      <c r="C11" s="73">
        <v>250</v>
      </c>
      <c r="D11" s="74">
        <v>4.5</v>
      </c>
      <c r="E11" s="74">
        <v>3.7</v>
      </c>
      <c r="F11" s="74" t="s">
        <v>136</v>
      </c>
      <c r="G11" s="75">
        <f>IF(OR(C11="",D11="",E11="",H11="",J11="",K11="",L11="",M11="",N11="",O11="",P11="",Q11="",R11="",S11=""),"",IFERROR(LOOKUP(2,1/(('AUTO ENGINE'!$A$2:$A$1201=ROW())*('AUTO ENGINE'!$M$2:$M$1201=1)),'AUTO ENGINE'!$B$2:$B$1201),"NO CABLE PASSES"))</f>
        <v>70</v>
      </c>
      <c r="H11" s="76" t="s">
        <v>137</v>
      </c>
      <c r="I11" s="77">
        <f t="shared" si="0"/>
        <v>27.5</v>
      </c>
      <c r="J11" s="73">
        <v>1</v>
      </c>
      <c r="K11" s="73">
        <v>415</v>
      </c>
      <c r="L11" s="73">
        <v>0.53</v>
      </c>
      <c r="M11" s="73">
        <v>0.76</v>
      </c>
      <c r="N11" s="73">
        <v>0.88</v>
      </c>
      <c r="O11" s="73">
        <v>0.06</v>
      </c>
      <c r="P11" s="73">
        <v>1.5</v>
      </c>
      <c r="Q11" s="73">
        <v>0.3</v>
      </c>
      <c r="R11" s="78">
        <f t="shared" si="1"/>
        <v>7.7289192662600508</v>
      </c>
      <c r="S11" s="73">
        <v>1</v>
      </c>
      <c r="T11" s="72">
        <f t="shared" si="2"/>
        <v>143</v>
      </c>
      <c r="U11" s="72">
        <f t="shared" si="3"/>
        <v>7.6965613506716419</v>
      </c>
      <c r="V11" s="72">
        <f t="shared" si="4"/>
        <v>173</v>
      </c>
      <c r="W11" s="72">
        <f t="shared" si="5"/>
        <v>0.56699999999999995</v>
      </c>
      <c r="X11" s="72">
        <f t="shared" si="6"/>
        <v>7.6999999999999999E-2</v>
      </c>
      <c r="Y11" s="72">
        <f t="shared" si="7"/>
        <v>91.69</v>
      </c>
      <c r="Z11" s="72" t="str">
        <f t="shared" si="8"/>
        <v>PASS</v>
      </c>
      <c r="AA11" s="78">
        <f t="shared" si="9"/>
        <v>11.544842026007462</v>
      </c>
      <c r="AB11" s="78">
        <f t="shared" si="10"/>
        <v>0.95393920141694566</v>
      </c>
      <c r="AC11" s="78">
        <f t="shared" si="11"/>
        <v>0.24355331850910478</v>
      </c>
      <c r="AD11" s="78">
        <f t="shared" si="12"/>
        <v>0.29220922588751613</v>
      </c>
      <c r="AE11" s="78">
        <f t="shared" si="13"/>
        <v>7.0411861659642444E-2</v>
      </c>
      <c r="AF11" s="72" t="str">
        <f>IF(OR(AE11="",AD11=""),"",IF(AE11&lt;='OS-DORAEN'!$B$6,"PASS","FAIL"))</f>
        <v>PASS</v>
      </c>
      <c r="AG11" s="78">
        <f t="shared" si="14"/>
        <v>0.64992307237087688</v>
      </c>
      <c r="AH11" s="78">
        <f t="shared" si="15"/>
        <v>0.48096407657255746</v>
      </c>
      <c r="AI11" s="78">
        <f t="shared" si="16"/>
        <v>0.38469917348499649</v>
      </c>
      <c r="AJ11" s="78">
        <f t="shared" si="17"/>
        <v>9.2698596020481083E-2</v>
      </c>
      <c r="AK11" s="72" t="str">
        <f>IF(OR(AJ11="",AI11=""),"",IF(AJ11&lt;='OS-DORAEN'!$B$5,"PASS","FAIL"))</f>
        <v>PASS</v>
      </c>
      <c r="AL11" s="79">
        <f t="shared" si="18"/>
        <v>54.048386477343016</v>
      </c>
      <c r="AM11" s="79">
        <f t="shared" si="19"/>
        <v>70</v>
      </c>
      <c r="AN11" s="79">
        <f t="shared" si="20"/>
        <v>10.01</v>
      </c>
      <c r="AO11" s="79" t="str">
        <f t="shared" si="21"/>
        <v>PASS</v>
      </c>
      <c r="AP11" s="72" t="str">
        <f t="shared" si="22"/>
        <v>SUITABLE</v>
      </c>
      <c r="AQ11" s="72">
        <f t="shared" si="23"/>
        <v>3</v>
      </c>
      <c r="AR11" s="72" t="str">
        <f t="shared" si="24"/>
        <v>MCCB</v>
      </c>
      <c r="AS11" s="79">
        <f t="shared" si="25"/>
        <v>7.7</v>
      </c>
      <c r="AT11" s="72">
        <f>IF(AS11="","",IF(AS11&lt;=Lists!$J$2,Lists!$J$2,IFERROR(INDEX(Lists!$J$2:$J$28,IF(INDEX(Lists!$J$2:$J$28,MATCH(AS11,Lists!$J$2:$J$28,1))=AS11,MATCH(AS11,Lists!$J$2:$J$28,1),MATCH(AS11,Lists!$J$2:$J$28,1)+1)),"NO STANDARD CB")))</f>
        <v>16</v>
      </c>
      <c r="AU11" s="72" t="str">
        <f t="shared" si="26"/>
        <v>Manufacturer-specific adjustable trip unit</v>
      </c>
      <c r="AV11" s="79">
        <f t="shared" si="27"/>
        <v>7.7</v>
      </c>
      <c r="AW11" s="72" t="str">
        <f t="shared" si="28"/>
        <v>Verify manufacturer instantaneous/magnetic pickup</v>
      </c>
      <c r="AX11" s="72" t="str">
        <f t="shared" si="29"/>
        <v>VERIFY MANUFACTURER</v>
      </c>
      <c r="AY11" s="72" t="str">
        <f t="shared" si="30"/>
        <v>PASS</v>
      </c>
      <c r="AZ11" s="72" t="str">
        <f t="shared" si="31"/>
        <v>16 A MCCB; target Ir 7.7 A; manufacturer trip-unit verification required</v>
      </c>
      <c r="BA11" s="80"/>
      <c r="BB11" s="72" t="str">
        <f t="shared" si="32"/>
        <v>ENTER CB Icu/Ics</v>
      </c>
      <c r="BC11" s="72" t="str">
        <f t="shared" si="33"/>
        <v>Enter manufacturer CB Icu/Ics. Required ≥ 7.73 kA</v>
      </c>
      <c r="BD11" s="72" t="str">
        <f>IF(OR(AS11="",AT11="",AV11=""),"",IF(AND(AT11&gt;=AS11,COUNTIF(Lists!$J$2:$J$28,AT11)&gt;0,AV11&gt;=AS11,AV11&lt;=AT11),"PASS","FAIL - REVIEW MCCB FRAME/TRIP UNIT"))</f>
        <v>PASS</v>
      </c>
      <c r="BE11" s="81"/>
      <c r="BF11" s="81" t="str">
        <f t="shared" si="34"/>
        <v>XLPE</v>
      </c>
      <c r="BG11" s="81" t="str">
        <f t="shared" si="35"/>
        <v>4C</v>
      </c>
      <c r="BH11" s="81" t="str">
        <f t="shared" si="36"/>
        <v>Al</v>
      </c>
      <c r="BI11" s="82" t="str">
        <f t="shared" si="37"/>
        <v>XLPE</v>
      </c>
      <c r="BJ11" s="82" t="str">
        <f t="shared" si="38"/>
        <v>Armoured</v>
      </c>
      <c r="BK11" s="82">
        <f t="shared" si="39"/>
        <v>70</v>
      </c>
      <c r="BL11" s="82">
        <f>IFERROR(SUMIFS('Cable Data Master'!$K:$K,'Cable Data Master'!$A:$A,$BF11,'Cable Data Master'!$B:$B,$BG11,'Cable Data Master'!$C:$C,$BH11,'Cable Data Master'!$D:$D,$BI11,'Cable Data Master'!$E:$E,$BJ11,'Cable Data Master'!$F:$F,$BK11),"")</f>
        <v>1.05</v>
      </c>
      <c r="BM11" s="82">
        <f>IFERROR(SUMIFS('Cable Data Master'!$L:$L,'Cable Data Master'!$A:$A,$BF11,'Cable Data Master'!$B:$B,$BG11,'Cable Data Master'!$C:$C,$BH11,'Cable Data Master'!$D:$D,$BI11,'Cable Data Master'!$E:$E,$BJ11,'Cable Data Master'!$F:$F,$BK11),"")</f>
        <v>27.5</v>
      </c>
      <c r="BN11" s="72">
        <f>IFERROR(SUMIFS('Cable Data Master'!$G:$G,'Cable Data Master'!$A:$A,$BF11,'Cable Data Master'!$B:$B,$BG11,'Cable Data Master'!$C:$C,$BH11,'Cable Data Master'!$D:$D,$BI11,'Cable Data Master'!$E:$E,$BJ11,'Cable Data Master'!$F:$F,$BK11),"")</f>
        <v>173</v>
      </c>
      <c r="BO11" s="72">
        <f>IFERROR(SUMIFS('Cable Data Master'!$H:$H,'Cable Data Master'!$A:$A,$BF11,'Cable Data Master'!$B:$B,$BG11,'Cable Data Master'!$C:$C,$BH11,'Cable Data Master'!$D:$D,$BI11,'Cable Data Master'!$E:$E,$BJ11,'Cable Data Master'!$F:$F,$BK11),"")</f>
        <v>0.56699999999999995</v>
      </c>
      <c r="BP11" s="72">
        <f>IFERROR(SUMIFS('Cable Data Master'!$I:$I,'Cable Data Master'!$A:$A,$BF11,'Cable Data Master'!$B:$B,$BG11,'Cable Data Master'!$C:$C,$BH11,'Cable Data Master'!$D:$D,$BI11,'Cable Data Master'!$E:$E,$BJ11,'Cable Data Master'!$F:$F,$BK11),"")</f>
        <v>7.6999999999999999E-2</v>
      </c>
      <c r="BQ11" s="72">
        <f>IFERROR(SUMIFS('Cable Data Master'!$J:$J,'Cable Data Master'!$A:$A,$BF11,'Cable Data Master'!$B:$B,$BG11,'Cable Data Master'!$C:$C,$BH11,'Cable Data Master'!$D:$D,$BI11,'Cable Data Master'!$E:$E,$BJ11,'Cable Data Master'!$F:$F,$BK11),"")</f>
        <v>143</v>
      </c>
      <c r="BR11" s="72"/>
      <c r="BS11" s="83"/>
      <c r="BT11" s="84"/>
    </row>
    <row r="12" spans="1:72" s="85" customFormat="1" ht="30" customHeight="1" x14ac:dyDescent="0.35">
      <c r="A12" s="72">
        <v>9</v>
      </c>
      <c r="B12" s="73" t="s">
        <v>138</v>
      </c>
      <c r="C12" s="73">
        <v>100</v>
      </c>
      <c r="D12" s="74">
        <v>4.5</v>
      </c>
      <c r="E12" s="74">
        <v>22</v>
      </c>
      <c r="F12" s="74" t="s">
        <v>134</v>
      </c>
      <c r="G12" s="75">
        <f>IF(OR(C12="",D12="",E12="",H12="",J12="",K12="",L12="",M12="",N12="",O12="",P12="",Q12="",R12="",S12=""),"",IFERROR(LOOKUP(2,1/(('AUTO ENGINE'!$A$2:$A$1201=ROW())*('AUTO ENGINE'!$M$2:$M$1201=1)),'AUTO ENGINE'!$B$2:$B$1201),"NO CABLE PASSES"))</f>
        <v>25</v>
      </c>
      <c r="H12" s="76" t="s">
        <v>133</v>
      </c>
      <c r="I12" s="77">
        <f t="shared" si="0"/>
        <v>17.5</v>
      </c>
      <c r="J12" s="73">
        <v>2</v>
      </c>
      <c r="K12" s="73">
        <v>400</v>
      </c>
      <c r="L12" s="73">
        <v>0.53</v>
      </c>
      <c r="M12" s="73">
        <v>0.8</v>
      </c>
      <c r="N12" s="73">
        <v>0.9</v>
      </c>
      <c r="O12" s="73">
        <v>1E-3</v>
      </c>
      <c r="P12" s="73">
        <v>1.5</v>
      </c>
      <c r="Q12" s="73">
        <v>0.3</v>
      </c>
      <c r="R12" s="78">
        <f t="shared" si="1"/>
        <v>3.2075014954979211</v>
      </c>
      <c r="S12" s="73">
        <v>1</v>
      </c>
      <c r="T12" s="72">
        <f t="shared" si="2"/>
        <v>143</v>
      </c>
      <c r="U12" s="72">
        <f t="shared" si="3"/>
        <v>44.103145563096405</v>
      </c>
      <c r="V12" s="72">
        <f t="shared" si="4"/>
        <v>96</v>
      </c>
      <c r="W12" s="72">
        <f t="shared" si="5"/>
        <v>1.54</v>
      </c>
      <c r="X12" s="72">
        <f t="shared" si="6"/>
        <v>0.08</v>
      </c>
      <c r="Y12" s="72">
        <f t="shared" si="7"/>
        <v>101.76</v>
      </c>
      <c r="Z12" s="72" t="str">
        <f t="shared" si="8"/>
        <v>PASS</v>
      </c>
      <c r="AA12" s="78">
        <f t="shared" si="9"/>
        <v>66.154718344644607</v>
      </c>
      <c r="AB12" s="78">
        <f t="shared" si="10"/>
        <v>0.95393920141694566</v>
      </c>
      <c r="AC12" s="78">
        <f t="shared" si="11"/>
        <v>0.26915756805667779</v>
      </c>
      <c r="AD12" s="78">
        <f t="shared" si="12"/>
        <v>3.0840971339827654E-2</v>
      </c>
      <c r="AE12" s="78">
        <f t="shared" si="13"/>
        <v>7.7102428349569135E-3</v>
      </c>
      <c r="AF12" s="72" t="str">
        <f>IF(OR(AE12="",AD12=""),"",IF(AE12&lt;='OS-DORAEN'!$B$6,"PASS","FAIL"))</f>
        <v>PASS</v>
      </c>
      <c r="AG12" s="78">
        <f t="shared" si="14"/>
        <v>0.59999999999999987</v>
      </c>
      <c r="AH12" s="78">
        <f t="shared" si="15"/>
        <v>0.64000000000000012</v>
      </c>
      <c r="AI12" s="78">
        <f t="shared" si="16"/>
        <v>4.8888888888888885E-2</v>
      </c>
      <c r="AJ12" s="78">
        <f t="shared" si="17"/>
        <v>1.2222222222222221E-2</v>
      </c>
      <c r="AK12" s="72" t="str">
        <f>IF(OR(AJ12="",AI12=""),"",IF(AJ12&lt;='OS-DORAEN'!$B$5,"PASS","FAIL"))</f>
        <v>PASS</v>
      </c>
      <c r="AL12" s="79">
        <f t="shared" si="18"/>
        <v>22.430080388097348</v>
      </c>
      <c r="AM12" s="79">
        <f t="shared" si="19"/>
        <v>50</v>
      </c>
      <c r="AN12" s="79">
        <f t="shared" si="20"/>
        <v>7.15</v>
      </c>
      <c r="AO12" s="79" t="str">
        <f t="shared" si="21"/>
        <v>PASS</v>
      </c>
      <c r="AP12" s="72" t="str">
        <f t="shared" si="22"/>
        <v>SUITABLE</v>
      </c>
      <c r="AQ12" s="72">
        <f t="shared" si="23"/>
        <v>3</v>
      </c>
      <c r="AR12" s="72" t="str">
        <f t="shared" si="24"/>
        <v>MCCB</v>
      </c>
      <c r="AS12" s="79">
        <f t="shared" si="25"/>
        <v>44.1</v>
      </c>
      <c r="AT12" s="72">
        <f>IF(AS12="","",IF(AS12&lt;=Lists!$J$2,Lists!$J$2,IFERROR(INDEX(Lists!$J$2:$J$28,IF(INDEX(Lists!$J$2:$J$28,MATCH(AS12,Lists!$J$2:$J$28,1))=AS12,MATCH(AS12,Lists!$J$2:$J$28,1),MATCH(AS12,Lists!$J$2:$J$28,1)+1)),"NO STANDARD CB")))</f>
        <v>50</v>
      </c>
      <c r="AU12" s="72" t="str">
        <f t="shared" si="26"/>
        <v>Manufacturer-specific adjustable trip unit</v>
      </c>
      <c r="AV12" s="79">
        <f t="shared" si="27"/>
        <v>44.1</v>
      </c>
      <c r="AW12" s="72" t="str">
        <f t="shared" si="28"/>
        <v>Verify manufacturer instantaneous/magnetic pickup</v>
      </c>
      <c r="AX12" s="72" t="str">
        <f t="shared" si="29"/>
        <v>VERIFY MANUFACTURER</v>
      </c>
      <c r="AY12" s="72" t="str">
        <f t="shared" si="30"/>
        <v>PASS</v>
      </c>
      <c r="AZ12" s="72" t="str">
        <f t="shared" si="31"/>
        <v>50 A MCCB; target Ir 44.1 A; manufacturer trip-unit verification required</v>
      </c>
      <c r="BA12" s="80"/>
      <c r="BB12" s="72" t="str">
        <f t="shared" si="32"/>
        <v>ENTER CB Icu/Ics</v>
      </c>
      <c r="BC12" s="72" t="str">
        <f t="shared" si="33"/>
        <v>Enter manufacturer CB Icu/Ics. Required ≥ 3.21 kA</v>
      </c>
      <c r="BD12" s="72" t="str">
        <f>IF(OR(AS12="",AT12="",AV12=""),"",IF(AND(AT12&gt;=AS12,COUNTIF(Lists!$J$2:$J$28,AT12)&gt;0,AV12&gt;=AS12,AV12&lt;=AT12),"PASS","FAIL - REVIEW MCCB FRAME/TRIP UNIT"))</f>
        <v>PASS</v>
      </c>
      <c r="BE12" s="81"/>
      <c r="BF12" s="81" t="str">
        <f t="shared" si="34"/>
        <v>XLPE</v>
      </c>
      <c r="BG12" s="81" t="str">
        <f t="shared" si="35"/>
        <v>3C</v>
      </c>
      <c r="BH12" s="81" t="str">
        <f t="shared" si="36"/>
        <v>Al</v>
      </c>
      <c r="BI12" s="82" t="str">
        <f t="shared" si="37"/>
        <v>XLPE</v>
      </c>
      <c r="BJ12" s="82" t="str">
        <f t="shared" si="38"/>
        <v>Armoured</v>
      </c>
      <c r="BK12" s="82">
        <f t="shared" si="39"/>
        <v>25</v>
      </c>
      <c r="BL12" s="82">
        <f>IFERROR(SUMIFS('Cable Data Master'!$K:$K,'Cable Data Master'!$A:$A,$BF12,'Cable Data Master'!$B:$B,$BG12,'Cable Data Master'!$C:$C,$BH12,'Cable Data Master'!$D:$D,$BI12,'Cable Data Master'!$E:$E,$BJ12,'Cable Data Master'!$F:$F,$BK12),"")</f>
        <v>1.54</v>
      </c>
      <c r="BM12" s="82">
        <f>IFERROR(SUMIFS('Cable Data Master'!$L:$L,'Cable Data Master'!$A:$A,$BF12,'Cable Data Master'!$B:$B,$BG12,'Cable Data Master'!$C:$C,$BH12,'Cable Data Master'!$D:$D,$BI12,'Cable Data Master'!$E:$E,$BJ12,'Cable Data Master'!$F:$F,$BK12),"")</f>
        <v>17.5</v>
      </c>
      <c r="BN12" s="72">
        <f>IFERROR(SUMIFS('Cable Data Master'!$G:$G,'Cable Data Master'!$A:$A,$BF12,'Cable Data Master'!$B:$B,$BG12,'Cable Data Master'!$C:$C,$BH12,'Cable Data Master'!$D:$D,$BI12,'Cable Data Master'!$E:$E,$BJ12,'Cable Data Master'!$F:$F,$BK12),"")</f>
        <v>96</v>
      </c>
      <c r="BO12" s="72">
        <f>IFERROR(SUMIFS('Cable Data Master'!$H:$H,'Cable Data Master'!$A:$A,$BF12,'Cable Data Master'!$B:$B,$BG12,'Cable Data Master'!$C:$C,$BH12,'Cable Data Master'!$D:$D,$BI12,'Cable Data Master'!$E:$E,$BJ12,'Cable Data Master'!$F:$F,$BK12),"")</f>
        <v>1.54</v>
      </c>
      <c r="BP12" s="72">
        <f>IFERROR(SUMIFS('Cable Data Master'!$I:$I,'Cable Data Master'!$A:$A,$BF12,'Cable Data Master'!$B:$B,$BG12,'Cable Data Master'!$C:$C,$BH12,'Cable Data Master'!$D:$D,$BI12,'Cable Data Master'!$E:$E,$BJ12,'Cable Data Master'!$F:$F,$BK12),"")</f>
        <v>0.08</v>
      </c>
      <c r="BQ12" s="72">
        <f>IFERROR(SUMIFS('Cable Data Master'!$J:$J,'Cable Data Master'!$A:$A,$BF12,'Cable Data Master'!$B:$B,$BG12,'Cable Data Master'!$C:$C,$BH12,'Cable Data Master'!$D:$D,$BI12,'Cable Data Master'!$E:$E,$BJ12,'Cable Data Master'!$F:$F,$BK12),"")</f>
        <v>143</v>
      </c>
      <c r="BR12" s="72"/>
      <c r="BS12" s="83"/>
      <c r="BT12" s="84"/>
    </row>
    <row r="13" spans="1:72" s="87" customFormat="1" ht="30" customHeight="1" x14ac:dyDescent="0.35">
      <c r="A13" s="72">
        <v>10</v>
      </c>
      <c r="B13" s="73" t="s">
        <v>139</v>
      </c>
      <c r="C13" s="73">
        <v>75</v>
      </c>
      <c r="D13" s="74">
        <v>4.5</v>
      </c>
      <c r="E13" s="74">
        <v>5.5</v>
      </c>
      <c r="F13" s="74" t="s">
        <v>136</v>
      </c>
      <c r="G13" s="72">
        <f>IF(OR(C13="",D13="",E13="",H13="",J13="",K13="",L13="",M13="",N13="",O13="",P13="",Q13="",R13="",S13=""),"",IFERROR(LOOKUP(2,1/(('AUTO ENGINE'!$A$2:$A$1201=ROW())*('AUTO ENGINE'!$M$2:$M$1201=1)),'AUTO ENGINE'!$B$2:$B$1201),"NO CABLE PASSES"))</f>
        <v>25</v>
      </c>
      <c r="H13" s="95" t="s">
        <v>140</v>
      </c>
      <c r="I13" s="72">
        <f t="shared" si="0"/>
        <v>16.8</v>
      </c>
      <c r="J13" s="73">
        <v>1</v>
      </c>
      <c r="K13" s="73">
        <v>400</v>
      </c>
      <c r="L13" s="73">
        <v>0.53</v>
      </c>
      <c r="M13" s="73">
        <v>0.8</v>
      </c>
      <c r="N13" s="73">
        <v>0.8</v>
      </c>
      <c r="O13" s="73">
        <v>1E-3</v>
      </c>
      <c r="P13" s="73">
        <v>1.5</v>
      </c>
      <c r="Q13" s="73">
        <v>0.3</v>
      </c>
      <c r="R13" s="72">
        <f t="shared" si="1"/>
        <v>2.4056261216234405</v>
      </c>
      <c r="S13" s="73">
        <v>0.2</v>
      </c>
      <c r="T13" s="72">
        <f t="shared" si="2"/>
        <v>143</v>
      </c>
      <c r="U13" s="72">
        <f t="shared" si="3"/>
        <v>12.404009689620864</v>
      </c>
      <c r="V13" s="72">
        <f t="shared" si="4"/>
        <v>120</v>
      </c>
      <c r="W13" s="72">
        <f t="shared" si="5"/>
        <v>0.93</v>
      </c>
      <c r="X13" s="72">
        <f t="shared" si="6"/>
        <v>0.08</v>
      </c>
      <c r="Y13" s="72">
        <f t="shared" si="7"/>
        <v>63.6</v>
      </c>
      <c r="Z13" s="72" t="str">
        <f t="shared" si="8"/>
        <v>PASS</v>
      </c>
      <c r="AA13" s="72">
        <f t="shared" si="9"/>
        <v>18.606014534431296</v>
      </c>
      <c r="AB13" s="72">
        <f t="shared" si="10"/>
        <v>0.95393920141694566</v>
      </c>
      <c r="AC13" s="72">
        <f t="shared" si="11"/>
        <v>0.35531513611335569</v>
      </c>
      <c r="AD13" s="72">
        <f t="shared" si="12"/>
        <v>1.1450585441153061E-2</v>
      </c>
      <c r="AE13" s="72">
        <f t="shared" si="13"/>
        <v>2.8626463602882653E-3</v>
      </c>
      <c r="AF13" s="72" t="str">
        <f>IF(OR(AE13="",AD13=""),"",IF(AE13&lt;='OS-DORAEN'!$B$6,"PASS","FAIL"))</f>
        <v>PASS</v>
      </c>
      <c r="AG13" s="72">
        <f t="shared" si="14"/>
        <v>0.59999999999999987</v>
      </c>
      <c r="AH13" s="72">
        <f t="shared" si="15"/>
        <v>0.79200000000000004</v>
      </c>
      <c r="AI13" s="72">
        <f t="shared" si="16"/>
        <v>1.7015624999999996E-2</v>
      </c>
      <c r="AJ13" s="72">
        <f t="shared" si="17"/>
        <v>4.253906249999999E-3</v>
      </c>
      <c r="AK13" s="72" t="str">
        <f>IF(OR(AJ13="",AI13=""),"",IF(AJ13&lt;='OS-DORAEN'!$B$5,"PASS","FAIL"))</f>
        <v>PASS</v>
      </c>
      <c r="AL13" s="72">
        <f t="shared" si="18"/>
        <v>7.5232776732855804</v>
      </c>
      <c r="AM13" s="72">
        <f t="shared" si="19"/>
        <v>25</v>
      </c>
      <c r="AN13" s="72">
        <f t="shared" si="20"/>
        <v>7.9939430195617485</v>
      </c>
      <c r="AO13" s="72" t="str">
        <f t="shared" si="21"/>
        <v>PASS</v>
      </c>
      <c r="AP13" s="72" t="str">
        <f t="shared" si="22"/>
        <v>SUITABLE</v>
      </c>
      <c r="AQ13" s="72">
        <f t="shared" si="23"/>
        <v>3</v>
      </c>
      <c r="AR13" s="72" t="str">
        <f t="shared" si="24"/>
        <v>MCCB</v>
      </c>
      <c r="AS13" s="72">
        <f t="shared" si="25"/>
        <v>12.4</v>
      </c>
      <c r="AT13" s="72">
        <f>IF(AS13="","",IF(AS13&lt;=Lists!$J$2,Lists!$J$2,IFERROR(INDEX(Lists!$J$2:$J$28,IF(INDEX(Lists!$J$2:$J$28,MATCH(AS13,Lists!$J$2:$J$28,1))=AS13,MATCH(AS13,Lists!$J$2:$J$28,1),MATCH(AS13,Lists!$J$2:$J$28,1)+1)),"NO STANDARD CB")))</f>
        <v>16</v>
      </c>
      <c r="AU13" s="72" t="str">
        <f t="shared" si="26"/>
        <v>Manufacturer-specific adjustable trip unit</v>
      </c>
      <c r="AV13" s="72">
        <f t="shared" si="27"/>
        <v>12.4</v>
      </c>
      <c r="AW13" s="72" t="str">
        <f t="shared" si="28"/>
        <v>Verify manufacturer instantaneous/magnetic pickup</v>
      </c>
      <c r="AX13" s="72" t="str">
        <f t="shared" si="29"/>
        <v>VERIFY MANUFACTURER</v>
      </c>
      <c r="AY13" s="72" t="str">
        <f t="shared" si="30"/>
        <v>PASS</v>
      </c>
      <c r="AZ13" s="72" t="str">
        <f t="shared" si="31"/>
        <v>16 A MCCB; target Ir 12.4 A; manufacturer trip-unit verification required</v>
      </c>
      <c r="BA13" s="73"/>
      <c r="BB13" s="72" t="str">
        <f t="shared" si="32"/>
        <v>ENTER CB Icu/Ics</v>
      </c>
      <c r="BC13" s="72" t="str">
        <f t="shared" si="33"/>
        <v>Enter manufacturer CB Icu/Ics. Required ≥ 2.41 kA</v>
      </c>
      <c r="BD13" s="72" t="str">
        <f>IF(OR(AS13="",AT13="",AV13=""),"",IF(AND(AT13&gt;=AS13,COUNTIF(Lists!$J$2:$J$28,AT13)&gt;0,AV13&gt;=AS13,AV13&lt;=AT13),"PASS","FAIL - REVIEW MCCB FRAME/TRIP UNIT"))</f>
        <v>PASS</v>
      </c>
      <c r="BE13" s="86"/>
      <c r="BF13" s="86" t="str">
        <f t="shared" si="34"/>
        <v>XLPE</v>
      </c>
      <c r="BG13" s="86" t="str">
        <f t="shared" si="35"/>
        <v>3C</v>
      </c>
      <c r="BH13" s="86" t="str">
        <f t="shared" si="36"/>
        <v>Cu</v>
      </c>
      <c r="BI13" s="86" t="str">
        <f t="shared" si="37"/>
        <v>XLPE</v>
      </c>
      <c r="BJ13" s="86" t="str">
        <f t="shared" si="38"/>
        <v>Unarmoured</v>
      </c>
      <c r="BK13" s="86">
        <f t="shared" si="39"/>
        <v>25</v>
      </c>
      <c r="BL13" s="86">
        <f>IFERROR(SUMIFS('Cable Data Master'!$K:$K,'Cable Data Master'!$A:$A,$BF13,'Cable Data Master'!$B:$B,$BG13,'Cable Data Master'!$C:$C,$BH13,'Cable Data Master'!$D:$D,$BI13,'Cable Data Master'!$E:$E,$BJ13,'Cable Data Master'!$F:$F,$BK13),"")</f>
        <v>1.232</v>
      </c>
      <c r="BM13" s="86">
        <f>IFERROR(SUMIFS('Cable Data Master'!$L:$L,'Cable Data Master'!$A:$A,$BF13,'Cable Data Master'!$B:$B,$BG13,'Cable Data Master'!$C:$C,$BH13,'Cable Data Master'!$D:$D,$BI13,'Cable Data Master'!$E:$E,$BJ13,'Cable Data Master'!$F:$F,$BK13),"")</f>
        <v>16.8</v>
      </c>
      <c r="BN13" s="86">
        <f>IFERROR(SUMIFS('Cable Data Master'!$G:$G,'Cable Data Master'!$A:$A,$BF13,'Cable Data Master'!$B:$B,$BG13,'Cable Data Master'!$C:$C,$BH13,'Cable Data Master'!$D:$D,$BI13,'Cable Data Master'!$E:$E,$BJ13,'Cable Data Master'!$F:$F,$BK13),"")</f>
        <v>120</v>
      </c>
      <c r="BO13" s="86">
        <f>IFERROR(SUMIFS('Cable Data Master'!$H:$H,'Cable Data Master'!$A:$A,$BF13,'Cable Data Master'!$B:$B,$BG13,'Cable Data Master'!$C:$C,$BH13,'Cable Data Master'!$D:$D,$BI13,'Cable Data Master'!$E:$E,$BJ13,'Cable Data Master'!$F:$F,$BK13),"")</f>
        <v>0.93</v>
      </c>
      <c r="BP13" s="86">
        <f>IFERROR(SUMIFS('Cable Data Master'!$I:$I,'Cable Data Master'!$A:$A,$BF13,'Cable Data Master'!$B:$B,$BG13,'Cable Data Master'!$C:$C,$BH13,'Cable Data Master'!$D:$D,$BI13,'Cable Data Master'!$E:$E,$BJ13,'Cable Data Master'!$F:$F,$BK13),"")</f>
        <v>0.08</v>
      </c>
      <c r="BQ13" s="86">
        <f>IFERROR(SUMIFS('Cable Data Master'!$J:$J,'Cable Data Master'!$A:$A,$BF13,'Cable Data Master'!$B:$B,$BG13,'Cable Data Master'!$C:$C,$BH13,'Cable Data Master'!$D:$D,$BI13,'Cable Data Master'!$E:$E,$BJ13,'Cable Data Master'!$F:$F,$BK13),"")</f>
        <v>143</v>
      </c>
      <c r="BR13" s="86"/>
    </row>
    <row r="14" spans="1:72" s="87" customFormat="1" ht="30" customHeight="1" x14ac:dyDescent="0.35">
      <c r="A14" s="72">
        <v>11</v>
      </c>
      <c r="B14" s="73" t="s">
        <v>141</v>
      </c>
      <c r="C14" s="73">
        <v>75</v>
      </c>
      <c r="D14" s="74">
        <v>4.5</v>
      </c>
      <c r="E14" s="74">
        <v>1.1000000000000001</v>
      </c>
      <c r="F14" s="74" t="s">
        <v>132</v>
      </c>
      <c r="G14" s="72">
        <f>IF(OR(C14="",D14="",E14="",H14="",J14="",K14="",L14="",M14="",N14="",O14="",P14="",Q14="",R14="",S14=""),"",IFERROR(LOOKUP(2,1/(('AUTO ENGINE'!$A$2:$A$1201=ROW())*('AUTO ENGINE'!$M$2:$M$1201=1)),'AUTO ENGINE'!$B$2:$B$1201),"NO CABLE PASSES"))</f>
        <v>25</v>
      </c>
      <c r="H14" s="95" t="s">
        <v>140</v>
      </c>
      <c r="I14" s="72">
        <f t="shared" si="0"/>
        <v>16.8</v>
      </c>
      <c r="J14" s="73">
        <v>1</v>
      </c>
      <c r="K14" s="73">
        <v>400</v>
      </c>
      <c r="L14" s="73">
        <v>0.53</v>
      </c>
      <c r="M14" s="73">
        <v>0.8</v>
      </c>
      <c r="N14" s="73">
        <v>0.9</v>
      </c>
      <c r="O14" s="73">
        <v>1E-3</v>
      </c>
      <c r="P14" s="73">
        <v>1.5</v>
      </c>
      <c r="Q14" s="73">
        <v>0.3</v>
      </c>
      <c r="R14" s="72">
        <f t="shared" si="1"/>
        <v>2.4056261216234405</v>
      </c>
      <c r="S14" s="73">
        <v>0.2</v>
      </c>
      <c r="T14" s="72">
        <f t="shared" si="2"/>
        <v>143</v>
      </c>
      <c r="U14" s="72">
        <f t="shared" si="3"/>
        <v>2.2051572781548203</v>
      </c>
      <c r="V14" s="72">
        <f t="shared" si="4"/>
        <v>120</v>
      </c>
      <c r="W14" s="72">
        <f t="shared" si="5"/>
        <v>0.93</v>
      </c>
      <c r="X14" s="72">
        <f t="shared" si="6"/>
        <v>0.08</v>
      </c>
      <c r="Y14" s="72">
        <f t="shared" si="7"/>
        <v>63.6</v>
      </c>
      <c r="Z14" s="72" t="str">
        <f t="shared" si="8"/>
        <v>PASS</v>
      </c>
      <c r="AA14" s="72">
        <f t="shared" si="9"/>
        <v>3.3077359172322307</v>
      </c>
      <c r="AB14" s="72">
        <f t="shared" si="10"/>
        <v>0.95393920141694566</v>
      </c>
      <c r="AC14" s="72">
        <f t="shared" si="11"/>
        <v>0.35531513611335569</v>
      </c>
      <c r="AD14" s="72">
        <f t="shared" si="12"/>
        <v>2.0356596339827669E-3</v>
      </c>
      <c r="AE14" s="72">
        <f t="shared" si="13"/>
        <v>5.0891490849569172E-4</v>
      </c>
      <c r="AF14" s="72" t="str">
        <f>IF(OR(AE14="",AD14=""),"",IF(AE14&lt;='OS-DORAEN'!$B$6,"PASS","FAIL"))</f>
        <v>PASS</v>
      </c>
      <c r="AG14" s="72">
        <f t="shared" si="14"/>
        <v>0.59999999999999987</v>
      </c>
      <c r="AH14" s="72">
        <f t="shared" si="15"/>
        <v>0.79200000000000004</v>
      </c>
      <c r="AI14" s="72">
        <f t="shared" si="16"/>
        <v>3.0249999999999995E-3</v>
      </c>
      <c r="AJ14" s="72">
        <f t="shared" si="17"/>
        <v>7.5624999999999987E-4</v>
      </c>
      <c r="AK14" s="72" t="str">
        <f>IF(OR(AJ14="",AI14=""),"",IF(AJ14&lt;='OS-DORAEN'!$B$5,"PASS","FAIL"))</f>
        <v>PASS</v>
      </c>
      <c r="AL14" s="72">
        <f t="shared" si="18"/>
        <v>7.5232776732855804</v>
      </c>
      <c r="AM14" s="72">
        <f t="shared" si="19"/>
        <v>25</v>
      </c>
      <c r="AN14" s="72">
        <f t="shared" si="20"/>
        <v>7.9939430195617485</v>
      </c>
      <c r="AO14" s="72" t="str">
        <f t="shared" si="21"/>
        <v>PASS</v>
      </c>
      <c r="AP14" s="72" t="str">
        <f t="shared" si="22"/>
        <v>SUITABLE</v>
      </c>
      <c r="AQ14" s="72">
        <f t="shared" si="23"/>
        <v>3</v>
      </c>
      <c r="AR14" s="72" t="str">
        <f t="shared" si="24"/>
        <v>MCCB</v>
      </c>
      <c r="AS14" s="72">
        <f t="shared" si="25"/>
        <v>2.2000000000000002</v>
      </c>
      <c r="AT14" s="72">
        <f>IF(AS14="","",IF(AS14&lt;=Lists!$J$2,Lists!$J$2,IFERROR(INDEX(Lists!$J$2:$J$28,IF(INDEX(Lists!$J$2:$J$28,MATCH(AS14,Lists!$J$2:$J$28,1))=AS14,MATCH(AS14,Lists!$J$2:$J$28,1),MATCH(AS14,Lists!$J$2:$J$28,1)+1)),"NO STANDARD CB")))</f>
        <v>16</v>
      </c>
      <c r="AU14" s="72" t="str">
        <f t="shared" si="26"/>
        <v>Manufacturer-specific adjustable trip unit</v>
      </c>
      <c r="AV14" s="72">
        <f t="shared" si="27"/>
        <v>2.2000000000000002</v>
      </c>
      <c r="AW14" s="72" t="str">
        <f t="shared" si="28"/>
        <v>Verify manufacturer instantaneous/magnetic pickup</v>
      </c>
      <c r="AX14" s="72" t="str">
        <f t="shared" si="29"/>
        <v>VERIFY MANUFACTURER</v>
      </c>
      <c r="AY14" s="72" t="str">
        <f t="shared" si="30"/>
        <v>PASS</v>
      </c>
      <c r="AZ14" s="72" t="str">
        <f t="shared" si="31"/>
        <v>16 A MCCB; target Ir 2.2 A; manufacturer trip-unit verification required</v>
      </c>
      <c r="BA14" s="73"/>
      <c r="BB14" s="72" t="str">
        <f t="shared" si="32"/>
        <v>ENTER CB Icu/Ics</v>
      </c>
      <c r="BC14" s="72" t="str">
        <f t="shared" si="33"/>
        <v>Enter manufacturer CB Icu/Ics. Required ≥ 2.41 kA</v>
      </c>
      <c r="BD14" s="72" t="str">
        <f>IF(OR(AS14="",AT14="",AV14=""),"",IF(AND(AT14&gt;=AS14,COUNTIF(Lists!$J$2:$J$28,AT14)&gt;0,AV14&gt;=AS14,AV14&lt;=AT14),"PASS","FAIL - REVIEW MCCB FRAME/TRIP UNIT"))</f>
        <v>PASS</v>
      </c>
      <c r="BE14" s="86"/>
      <c r="BF14" s="86" t="str">
        <f t="shared" si="34"/>
        <v>XLPE</v>
      </c>
      <c r="BG14" s="86" t="str">
        <f t="shared" si="35"/>
        <v>3C</v>
      </c>
      <c r="BH14" s="86" t="str">
        <f t="shared" si="36"/>
        <v>Cu</v>
      </c>
      <c r="BI14" s="86" t="str">
        <f t="shared" si="37"/>
        <v>XLPE</v>
      </c>
      <c r="BJ14" s="86" t="str">
        <f t="shared" si="38"/>
        <v>Unarmoured</v>
      </c>
      <c r="BK14" s="86">
        <f t="shared" si="39"/>
        <v>25</v>
      </c>
      <c r="BL14" s="86">
        <f>IFERROR(SUMIFS('Cable Data Master'!$K:$K,'Cable Data Master'!$A:$A,$BF14,'Cable Data Master'!$B:$B,$BG14,'Cable Data Master'!$C:$C,$BH14,'Cable Data Master'!$D:$D,$BI14,'Cable Data Master'!$E:$E,$BJ14,'Cable Data Master'!$F:$F,$BK14),"")</f>
        <v>1.232</v>
      </c>
      <c r="BM14" s="86">
        <f>IFERROR(SUMIFS('Cable Data Master'!$L:$L,'Cable Data Master'!$A:$A,$BF14,'Cable Data Master'!$B:$B,$BG14,'Cable Data Master'!$C:$C,$BH14,'Cable Data Master'!$D:$D,$BI14,'Cable Data Master'!$E:$E,$BJ14,'Cable Data Master'!$F:$F,$BK14),"")</f>
        <v>16.8</v>
      </c>
      <c r="BN14" s="86">
        <f>IFERROR(SUMIFS('Cable Data Master'!$G:$G,'Cable Data Master'!$A:$A,$BF14,'Cable Data Master'!$B:$B,$BG14,'Cable Data Master'!$C:$C,$BH14,'Cable Data Master'!$D:$D,$BI14,'Cable Data Master'!$E:$E,$BJ14,'Cable Data Master'!$F:$F,$BK14),"")</f>
        <v>120</v>
      </c>
      <c r="BO14" s="86">
        <f>IFERROR(SUMIFS('Cable Data Master'!$H:$H,'Cable Data Master'!$A:$A,$BF14,'Cable Data Master'!$B:$B,$BG14,'Cable Data Master'!$C:$C,$BH14,'Cable Data Master'!$D:$D,$BI14,'Cable Data Master'!$E:$E,$BJ14,'Cable Data Master'!$F:$F,$BK14),"")</f>
        <v>0.93</v>
      </c>
      <c r="BP14" s="86">
        <f>IFERROR(SUMIFS('Cable Data Master'!$I:$I,'Cable Data Master'!$A:$A,$BF14,'Cable Data Master'!$B:$B,$BG14,'Cable Data Master'!$C:$C,$BH14,'Cable Data Master'!$D:$D,$BI14,'Cable Data Master'!$E:$E,$BJ14,'Cable Data Master'!$F:$F,$BK14),"")</f>
        <v>0.08</v>
      </c>
      <c r="BQ14" s="86">
        <f>IFERROR(SUMIFS('Cable Data Master'!$J:$J,'Cable Data Master'!$A:$A,$BF14,'Cable Data Master'!$B:$B,$BG14,'Cable Data Master'!$C:$C,$BH14,'Cable Data Master'!$D:$D,$BI14,'Cable Data Master'!$E:$E,$BJ14,'Cable Data Master'!$F:$F,$BK14),"")</f>
        <v>143</v>
      </c>
      <c r="BR14" s="86"/>
    </row>
    <row r="15" spans="1:72" s="87" customFormat="1" ht="30" customHeight="1" x14ac:dyDescent="0.35">
      <c r="A15" s="72">
        <v>12</v>
      </c>
      <c r="B15" s="73" t="s">
        <v>142</v>
      </c>
      <c r="C15" s="73">
        <v>75</v>
      </c>
      <c r="D15" s="74">
        <v>4.5</v>
      </c>
      <c r="E15" s="74">
        <v>0.3</v>
      </c>
      <c r="F15" s="92" t="s">
        <v>143</v>
      </c>
      <c r="G15" s="94">
        <f>IF(OR(C15="",D15="",E15="",H15="",J15="",K15="",L15="",M15="",N15="",O15="",P15="",Q15="",R15="",S15=""),"",IFERROR(LOOKUP(2,1/(('AUTO ENGINE'!$A$2:$A$1201=ROW())*('AUTO ENGINE'!$M$2:$M$1201=1)),'AUTO ENGINE'!$B$2:$B$1201),"NO CABLE PASSES"))</f>
        <v>25</v>
      </c>
      <c r="H15" s="95" t="s">
        <v>140</v>
      </c>
      <c r="I15" s="72">
        <f t="shared" si="0"/>
        <v>16.8</v>
      </c>
      <c r="J15" s="73">
        <v>1</v>
      </c>
      <c r="K15" s="93">
        <v>230</v>
      </c>
      <c r="L15" s="73">
        <v>0.53</v>
      </c>
      <c r="M15" s="73">
        <v>0.8</v>
      </c>
      <c r="N15" s="73">
        <v>0.8</v>
      </c>
      <c r="O15" s="73">
        <v>1E-3</v>
      </c>
      <c r="P15" s="73">
        <v>1.5</v>
      </c>
      <c r="Q15" s="73">
        <v>0.3</v>
      </c>
      <c r="R15" s="72">
        <f t="shared" si="1"/>
        <v>4.1836976028233757</v>
      </c>
      <c r="S15" s="73">
        <v>0.2</v>
      </c>
      <c r="T15" s="72">
        <f t="shared" si="2"/>
        <v>143</v>
      </c>
      <c r="U15" s="94">
        <f>IFERROR(E15*1000/(K15*M15*N15),"")</f>
        <v>2.0380434782608692</v>
      </c>
      <c r="V15" s="72">
        <f t="shared" si="4"/>
        <v>120</v>
      </c>
      <c r="W15" s="72">
        <f t="shared" si="5"/>
        <v>0.93</v>
      </c>
      <c r="X15" s="72">
        <f t="shared" si="6"/>
        <v>0.08</v>
      </c>
      <c r="Y15" s="72">
        <f t="shared" si="7"/>
        <v>63.6</v>
      </c>
      <c r="Z15" s="72" t="str">
        <f t="shared" si="8"/>
        <v>PASS</v>
      </c>
      <c r="AA15" s="72">
        <f t="shared" si="9"/>
        <v>3.0570652173913038</v>
      </c>
      <c r="AB15" s="72">
        <f t="shared" si="10"/>
        <v>0.95393920141694566</v>
      </c>
      <c r="AC15" s="72">
        <f t="shared" si="11"/>
        <v>0.35531513611335569</v>
      </c>
      <c r="AD15" s="72">
        <f t="shared" si="12"/>
        <v>1.8813909021804512E-3</v>
      </c>
      <c r="AE15" s="72">
        <f t="shared" si="13"/>
        <v>8.1799604442628316E-4</v>
      </c>
      <c r="AF15" s="72" t="str">
        <f>IF(OR(AE15="",AD15=""),"",IF(AE15&lt;='OS-DORAEN'!$B$6,"PASS","FAIL"))</f>
        <v>PASS</v>
      </c>
      <c r="AG15" s="72">
        <f t="shared" si="14"/>
        <v>0.59999999999999987</v>
      </c>
      <c r="AH15" s="72">
        <f t="shared" si="15"/>
        <v>0.79200000000000004</v>
      </c>
      <c r="AI15" s="72">
        <f t="shared" si="16"/>
        <v>2.7957559230867199E-3</v>
      </c>
      <c r="AJ15" s="72">
        <f t="shared" si="17"/>
        <v>1.2155460535159652E-3</v>
      </c>
      <c r="AK15" s="72" t="str">
        <f>IF(OR(AJ15="",AI15=""),"",IF(AJ15&lt;='OS-DORAEN'!$B$5,"PASS","FAIL"))</f>
        <v>PASS</v>
      </c>
      <c r="AL15" s="72">
        <f t="shared" si="18"/>
        <v>13.083961170931445</v>
      </c>
      <c r="AM15" s="72">
        <f t="shared" si="19"/>
        <v>25</v>
      </c>
      <c r="AN15" s="72">
        <f t="shared" si="20"/>
        <v>7.9939430195617485</v>
      </c>
      <c r="AO15" s="72" t="str">
        <f t="shared" si="21"/>
        <v>PASS</v>
      </c>
      <c r="AP15" s="72" t="str">
        <f t="shared" si="22"/>
        <v>SUITABLE</v>
      </c>
      <c r="AQ15" s="72">
        <f t="shared" si="23"/>
        <v>3</v>
      </c>
      <c r="AR15" s="72" t="s">
        <v>144</v>
      </c>
      <c r="AS15" s="72">
        <f t="shared" si="25"/>
        <v>2</v>
      </c>
      <c r="AT15" s="72">
        <f>IF(AS15="","",IF(AS15&lt;=Lists!$J$2,Lists!$J$2,IFERROR(INDEX(Lists!$J$2:$J$28,IF(INDEX(Lists!$J$2:$J$28,MATCH(AS15,Lists!$J$2:$J$28,1))=AS15,MATCH(AS15,Lists!$J$2:$J$28,1),MATCH(AS15,Lists!$J$2:$J$28,1)+1)),"NO STANDARD CB")))</f>
        <v>16</v>
      </c>
      <c r="AU15" s="72" t="str">
        <f t="shared" si="26"/>
        <v>Manufacturer-specific adjustable trip unit</v>
      </c>
      <c r="AV15" s="72">
        <f t="shared" si="27"/>
        <v>2</v>
      </c>
      <c r="AW15" s="72" t="str">
        <f t="shared" si="28"/>
        <v>Verify manufacturer instantaneous/magnetic pickup</v>
      </c>
      <c r="AX15" s="72" t="str">
        <f t="shared" si="29"/>
        <v>VERIFY MANUFACTURER</v>
      </c>
      <c r="AY15" s="72" t="str">
        <f t="shared" si="30"/>
        <v>PASS</v>
      </c>
      <c r="AZ15" s="72" t="str">
        <f t="shared" si="31"/>
        <v>16 A MCCB; target Ir 2.0 A; manufacturer trip-unit verification required</v>
      </c>
      <c r="BA15" s="73"/>
      <c r="BB15" s="72" t="str">
        <f t="shared" si="32"/>
        <v>ENTER CB Icu/Ics</v>
      </c>
      <c r="BC15" s="72" t="str">
        <f t="shared" si="33"/>
        <v>Enter manufacturer CB Icu/Ics. Required ≥ 4.18 kA</v>
      </c>
      <c r="BD15" s="72" t="str">
        <f>IF(OR(AS15="",AT15="",AV15=""),"",IF(AND(AT15&gt;=AS15,COUNTIF(Lists!$J$2:$J$28,AT15)&gt;0,AV15&gt;=AS15,AV15&lt;=AT15),"PASS","FAIL - REVIEW MCCB FRAME/TRIP UNIT"))</f>
        <v>PASS</v>
      </c>
      <c r="BE15" s="86"/>
      <c r="BF15" s="86" t="str">
        <f t="shared" si="34"/>
        <v>XLPE</v>
      </c>
      <c r="BG15" s="86" t="str">
        <f t="shared" si="35"/>
        <v>3C</v>
      </c>
      <c r="BH15" s="86" t="str">
        <f t="shared" si="36"/>
        <v>Cu</v>
      </c>
      <c r="BI15" s="86" t="str">
        <f t="shared" si="37"/>
        <v>XLPE</v>
      </c>
      <c r="BJ15" s="86" t="str">
        <f t="shared" si="38"/>
        <v>Unarmoured</v>
      </c>
      <c r="BK15" s="86">
        <f t="shared" si="39"/>
        <v>25</v>
      </c>
      <c r="BL15" s="86">
        <f>IFERROR(SUMIFS('Cable Data Master'!$K:$K,'Cable Data Master'!$A:$A,$BF15,'Cable Data Master'!$B:$B,$BG15,'Cable Data Master'!$C:$C,$BH15,'Cable Data Master'!$D:$D,$BI15,'Cable Data Master'!$E:$E,$BJ15,'Cable Data Master'!$F:$F,$BK15),"")</f>
        <v>1.232</v>
      </c>
      <c r="BM15" s="86">
        <f>IFERROR(SUMIFS('Cable Data Master'!$L:$L,'Cable Data Master'!$A:$A,$BF15,'Cable Data Master'!$B:$B,$BG15,'Cable Data Master'!$C:$C,$BH15,'Cable Data Master'!$D:$D,$BI15,'Cable Data Master'!$E:$E,$BJ15,'Cable Data Master'!$F:$F,$BK15),"")</f>
        <v>16.8</v>
      </c>
      <c r="BN15" s="86">
        <f>IFERROR(SUMIFS('Cable Data Master'!$G:$G,'Cable Data Master'!$A:$A,$BF15,'Cable Data Master'!$B:$B,$BG15,'Cable Data Master'!$C:$C,$BH15,'Cable Data Master'!$D:$D,$BI15,'Cable Data Master'!$E:$E,$BJ15,'Cable Data Master'!$F:$F,$BK15),"")</f>
        <v>120</v>
      </c>
      <c r="BO15" s="86">
        <f>IFERROR(SUMIFS('Cable Data Master'!$H:$H,'Cable Data Master'!$A:$A,$BF15,'Cable Data Master'!$B:$B,$BG15,'Cable Data Master'!$C:$C,$BH15,'Cable Data Master'!$D:$D,$BI15,'Cable Data Master'!$E:$E,$BJ15,'Cable Data Master'!$F:$F,$BK15),"")</f>
        <v>0.93</v>
      </c>
      <c r="BP15" s="86">
        <f>IFERROR(SUMIFS('Cable Data Master'!$I:$I,'Cable Data Master'!$A:$A,$BF15,'Cable Data Master'!$B:$B,$BG15,'Cable Data Master'!$C:$C,$BH15,'Cable Data Master'!$D:$D,$BI15,'Cable Data Master'!$E:$E,$BJ15,'Cable Data Master'!$F:$F,$BK15),"")</f>
        <v>0.08</v>
      </c>
      <c r="BQ15" s="86">
        <f>IFERROR(SUMIFS('Cable Data Master'!$J:$J,'Cable Data Master'!$A:$A,$BF15,'Cable Data Master'!$B:$B,$BG15,'Cable Data Master'!$C:$C,$BH15,'Cable Data Master'!$D:$D,$BI15,'Cable Data Master'!$E:$E,$BJ15,'Cable Data Master'!$F:$F,$BK15),"")</f>
        <v>143</v>
      </c>
      <c r="BR15" s="86"/>
    </row>
    <row r="16" spans="1:72" s="87" customFormat="1" ht="30" customHeight="1" x14ac:dyDescent="0.35">
      <c r="A16" s="72">
        <v>13</v>
      </c>
      <c r="B16" s="73" t="s">
        <v>145</v>
      </c>
      <c r="C16" s="73">
        <v>75</v>
      </c>
      <c r="D16" s="74">
        <v>4.5</v>
      </c>
      <c r="E16" s="74">
        <v>0.05</v>
      </c>
      <c r="F16" s="92" t="s">
        <v>143</v>
      </c>
      <c r="G16" s="72">
        <f>IF(OR(C16="",D16="",E16="",H16="",J16="",K16="",L16="",M16="",N16="",O16="",P16="",Q16="",R16="",S16=""),"",IFERROR(LOOKUP(2,1/(('AUTO ENGINE'!$A$2:$A$1201=ROW())*('AUTO ENGINE'!$M$2:$M$1201=1)),'AUTO ENGINE'!$B$2:$B$1201),"NO CABLE PASSES"))</f>
        <v>25</v>
      </c>
      <c r="H16" s="73" t="s">
        <v>133</v>
      </c>
      <c r="I16" s="72">
        <f t="shared" si="0"/>
        <v>17.5</v>
      </c>
      <c r="J16" s="73">
        <v>1</v>
      </c>
      <c r="K16" s="93">
        <v>230</v>
      </c>
      <c r="L16" s="73">
        <v>0.53</v>
      </c>
      <c r="M16" s="73">
        <v>0.8</v>
      </c>
      <c r="N16" s="73">
        <v>0.8</v>
      </c>
      <c r="O16" s="73">
        <v>1E-3</v>
      </c>
      <c r="P16" s="73">
        <v>1.5</v>
      </c>
      <c r="Q16" s="73">
        <v>0.3</v>
      </c>
      <c r="R16" s="72">
        <f t="shared" si="1"/>
        <v>4.1836976028233757</v>
      </c>
      <c r="S16" s="73">
        <v>0.2</v>
      </c>
      <c r="T16" s="72">
        <f t="shared" si="2"/>
        <v>143</v>
      </c>
      <c r="U16" s="94">
        <f>IFERROR(E16*1000/(K16*M16*N16),"")</f>
        <v>0.33967391304347822</v>
      </c>
      <c r="V16" s="72">
        <f t="shared" si="4"/>
        <v>96</v>
      </c>
      <c r="W16" s="72">
        <f t="shared" si="5"/>
        <v>1.54</v>
      </c>
      <c r="X16" s="72">
        <f t="shared" si="6"/>
        <v>0.08</v>
      </c>
      <c r="Y16" s="72">
        <f t="shared" si="7"/>
        <v>50.88</v>
      </c>
      <c r="Z16" s="72" t="str">
        <f t="shared" si="8"/>
        <v>PASS</v>
      </c>
      <c r="AA16" s="72">
        <f t="shared" si="9"/>
        <v>0.50951086956521729</v>
      </c>
      <c r="AB16" s="72">
        <f t="shared" si="10"/>
        <v>0.95393920141694566</v>
      </c>
      <c r="AC16" s="72">
        <f t="shared" si="11"/>
        <v>0.53831513611335557</v>
      </c>
      <c r="AD16" s="72">
        <f t="shared" si="12"/>
        <v>4.7506241485989508E-4</v>
      </c>
      <c r="AE16" s="72">
        <f t="shared" si="13"/>
        <v>2.0654887602604134E-4</v>
      </c>
      <c r="AF16" s="72" t="str">
        <f>IF(OR(AE16="",AD16=""),"",IF(AE16&lt;='OS-DORAEN'!$B$6,"PASS","FAIL"))</f>
        <v>PASS</v>
      </c>
      <c r="AG16" s="72">
        <f t="shared" si="14"/>
        <v>0.59999999999999987</v>
      </c>
      <c r="AH16" s="72">
        <f t="shared" si="15"/>
        <v>1.2800000000000002</v>
      </c>
      <c r="AI16" s="72">
        <f t="shared" si="16"/>
        <v>7.5306556850820744E-4</v>
      </c>
      <c r="AJ16" s="72">
        <f t="shared" si="17"/>
        <v>3.274198123948728E-4</v>
      </c>
      <c r="AK16" s="72" t="str">
        <f>IF(OR(AJ16="",AI16=""),"",IF(AJ16&lt;='OS-DORAEN'!$B$5,"PASS","FAIL"))</f>
        <v>PASS</v>
      </c>
      <c r="AL16" s="72">
        <f t="shared" si="18"/>
        <v>13.083961170931445</v>
      </c>
      <c r="AM16" s="72">
        <f t="shared" si="19"/>
        <v>25</v>
      </c>
      <c r="AN16" s="72">
        <f t="shared" si="20"/>
        <v>7.9939430195617485</v>
      </c>
      <c r="AO16" s="72" t="str">
        <f t="shared" si="21"/>
        <v>PASS</v>
      </c>
      <c r="AP16" s="72" t="str">
        <f t="shared" si="22"/>
        <v>SUITABLE</v>
      </c>
      <c r="AQ16" s="72">
        <f t="shared" si="23"/>
        <v>3</v>
      </c>
      <c r="AR16" s="72" t="s">
        <v>144</v>
      </c>
      <c r="AS16" s="72">
        <f t="shared" si="25"/>
        <v>0.3</v>
      </c>
      <c r="AT16" s="72">
        <f>IF(AS16="","",IF(AS16&lt;=Lists!$J$2,Lists!$J$2,IFERROR(INDEX(Lists!$J$2:$J$28,IF(INDEX(Lists!$J$2:$J$28,MATCH(AS16,Lists!$J$2:$J$28,1))=AS16,MATCH(AS16,Lists!$J$2:$J$28,1),MATCH(AS16,Lists!$J$2:$J$28,1)+1)),"NO STANDARD CB")))</f>
        <v>16</v>
      </c>
      <c r="AU16" s="72" t="str">
        <f t="shared" si="26"/>
        <v>Manufacturer-specific adjustable trip unit</v>
      </c>
      <c r="AV16" s="72">
        <f t="shared" si="27"/>
        <v>0.3</v>
      </c>
      <c r="AW16" s="72" t="str">
        <f t="shared" si="28"/>
        <v>Verify manufacturer instantaneous/magnetic pickup</v>
      </c>
      <c r="AX16" s="72" t="str">
        <f t="shared" si="29"/>
        <v>VERIFY MANUFACTURER</v>
      </c>
      <c r="AY16" s="72" t="str">
        <f t="shared" si="30"/>
        <v>PASS</v>
      </c>
      <c r="AZ16" s="72" t="str">
        <f t="shared" si="31"/>
        <v>16 A MCCB; target Ir 0.3 A; manufacturer trip-unit verification required</v>
      </c>
      <c r="BA16" s="73"/>
      <c r="BB16" s="72" t="str">
        <f t="shared" si="32"/>
        <v>ENTER CB Icu/Ics</v>
      </c>
      <c r="BC16" s="72" t="str">
        <f t="shared" si="33"/>
        <v>Enter manufacturer CB Icu/Ics. Required ≥ 4.18 kA</v>
      </c>
      <c r="BD16" s="72" t="str">
        <f>IF(OR(AS16="",AT16="",AV16=""),"",IF(AND(AT16&gt;=AS16,COUNTIF(Lists!$J$2:$J$28,AT16)&gt;0,AV16&gt;=AS16,AV16&lt;=AT16),"PASS","FAIL - REVIEW MCCB FRAME/TRIP UNIT"))</f>
        <v>PASS</v>
      </c>
      <c r="BE16" s="86"/>
      <c r="BF16" s="86" t="str">
        <f t="shared" si="34"/>
        <v>XLPE</v>
      </c>
      <c r="BG16" s="86" t="str">
        <f t="shared" si="35"/>
        <v>3C</v>
      </c>
      <c r="BH16" s="86" t="str">
        <f t="shared" si="36"/>
        <v>Al</v>
      </c>
      <c r="BI16" s="86" t="str">
        <f t="shared" si="37"/>
        <v>XLPE</v>
      </c>
      <c r="BJ16" s="86" t="str">
        <f t="shared" si="38"/>
        <v>Armoured</v>
      </c>
      <c r="BK16" s="86">
        <f t="shared" si="39"/>
        <v>25</v>
      </c>
      <c r="BL16" s="86">
        <f>IFERROR(SUMIFS('Cable Data Master'!$K:$K,'Cable Data Master'!$A:$A,$BF16,'Cable Data Master'!$B:$B,$BG16,'Cable Data Master'!$C:$C,$BH16,'Cable Data Master'!$D:$D,$BI16,'Cable Data Master'!$E:$E,$BJ16,'Cable Data Master'!$F:$F,$BK16),"")</f>
        <v>1.54</v>
      </c>
      <c r="BM16" s="86">
        <f>IFERROR(SUMIFS('Cable Data Master'!$L:$L,'Cable Data Master'!$A:$A,$BF16,'Cable Data Master'!$B:$B,$BG16,'Cable Data Master'!$C:$C,$BH16,'Cable Data Master'!$D:$D,$BI16,'Cable Data Master'!$E:$E,$BJ16,'Cable Data Master'!$F:$F,$BK16),"")</f>
        <v>17.5</v>
      </c>
      <c r="BN16" s="86">
        <f>IFERROR(SUMIFS('Cable Data Master'!$G:$G,'Cable Data Master'!$A:$A,$BF16,'Cable Data Master'!$B:$B,$BG16,'Cable Data Master'!$C:$C,$BH16,'Cable Data Master'!$D:$D,$BI16,'Cable Data Master'!$E:$E,$BJ16,'Cable Data Master'!$F:$F,$BK16),"")</f>
        <v>96</v>
      </c>
      <c r="BO16" s="86">
        <f>IFERROR(SUMIFS('Cable Data Master'!$H:$H,'Cable Data Master'!$A:$A,$BF16,'Cable Data Master'!$B:$B,$BG16,'Cable Data Master'!$C:$C,$BH16,'Cable Data Master'!$D:$D,$BI16,'Cable Data Master'!$E:$E,$BJ16,'Cable Data Master'!$F:$F,$BK16),"")</f>
        <v>1.54</v>
      </c>
      <c r="BP16" s="86">
        <f>IFERROR(SUMIFS('Cable Data Master'!$I:$I,'Cable Data Master'!$A:$A,$BF16,'Cable Data Master'!$B:$B,$BG16,'Cable Data Master'!$C:$C,$BH16,'Cable Data Master'!$D:$D,$BI16,'Cable Data Master'!$E:$E,$BJ16,'Cable Data Master'!$F:$F,$BK16),"")</f>
        <v>0.08</v>
      </c>
      <c r="BQ16" s="86">
        <f>IFERROR(SUMIFS('Cable Data Master'!$J:$J,'Cable Data Master'!$A:$A,$BF16,'Cable Data Master'!$B:$B,$BG16,'Cable Data Master'!$C:$C,$BH16,'Cable Data Master'!$D:$D,$BI16,'Cable Data Master'!$E:$E,$BJ16,'Cable Data Master'!$F:$F,$BK16),"")</f>
        <v>143</v>
      </c>
      <c r="BR16" s="86"/>
    </row>
    <row r="17" spans="1:70" s="87" customFormat="1" ht="30" customHeight="1" x14ac:dyDescent="0.35">
      <c r="A17" s="72">
        <v>14</v>
      </c>
      <c r="B17" s="73"/>
      <c r="C17" s="73"/>
      <c r="D17" s="74">
        <v>4.5</v>
      </c>
      <c r="E17" s="74"/>
      <c r="F17" s="74" t="s">
        <v>132</v>
      </c>
      <c r="G17" s="72" t="str">
        <f>IF(OR(C17="",D17="",E17="",H17="",J17="",K17="",L17="",M17="",N17="",O17="",P17="",Q17="",R17="",S17=""),"",IFERROR(LOOKUP(2,1/(('AUTO ENGINE'!$A$2:$A$1201=ROW())*('AUTO ENGINE'!$M$2:$M$1201=1)),'AUTO ENGINE'!$B$2:$B$1201),"NO CABLE PASSES"))</f>
        <v/>
      </c>
      <c r="H17" s="73" t="s">
        <v>133</v>
      </c>
      <c r="I17" s="72">
        <f t="shared" si="0"/>
        <v>0</v>
      </c>
      <c r="J17" s="73">
        <v>1</v>
      </c>
      <c r="K17" s="73">
        <v>415</v>
      </c>
      <c r="L17" s="73">
        <v>0.53</v>
      </c>
      <c r="M17" s="73">
        <v>0.85</v>
      </c>
      <c r="N17" s="73">
        <v>0.95399999999999996</v>
      </c>
      <c r="O17" s="73"/>
      <c r="P17" s="73">
        <v>1.5</v>
      </c>
      <c r="Q17" s="73">
        <v>0.3</v>
      </c>
      <c r="R17" s="72">
        <f t="shared" si="1"/>
        <v>0</v>
      </c>
      <c r="S17" s="73">
        <v>0.2</v>
      </c>
      <c r="T17" s="72">
        <f t="shared" si="2"/>
        <v>0</v>
      </c>
      <c r="U17" s="72">
        <f t="shared" ref="U17:U48" si="40">IFERROR(E17*1000/(SQRT(3)*K17*M17*N17),"")</f>
        <v>0</v>
      </c>
      <c r="V17" s="72">
        <f t="shared" si="4"/>
        <v>0</v>
      </c>
      <c r="W17" s="72">
        <f t="shared" si="5"/>
        <v>0</v>
      </c>
      <c r="X17" s="72">
        <f t="shared" si="6"/>
        <v>0</v>
      </c>
      <c r="Y17" s="72">
        <f t="shared" si="7"/>
        <v>0</v>
      </c>
      <c r="Z17" s="72" t="str">
        <f t="shared" si="8"/>
        <v>PASS</v>
      </c>
      <c r="AA17" s="72">
        <f t="shared" si="9"/>
        <v>0</v>
      </c>
      <c r="AB17" s="72">
        <f t="shared" si="10"/>
        <v>0.95393920141694566</v>
      </c>
      <c r="AC17" s="72">
        <f t="shared" si="11"/>
        <v>0</v>
      </c>
      <c r="AD17" s="72">
        <f t="shared" si="12"/>
        <v>0</v>
      </c>
      <c r="AE17" s="72">
        <f t="shared" si="13"/>
        <v>0</v>
      </c>
      <c r="AF17" s="72" t="str">
        <f>IF(OR(AE17="",AD17=""),"",IF(AE17&lt;='OS-DORAEN'!$B$6,"PASS","FAIL"))</f>
        <v>PASS</v>
      </c>
      <c r="AG17" s="72">
        <f t="shared" si="14"/>
        <v>0.52678268764263703</v>
      </c>
      <c r="AH17" s="72">
        <f t="shared" si="15"/>
        <v>0</v>
      </c>
      <c r="AI17" s="72">
        <f t="shared" si="16"/>
        <v>0</v>
      </c>
      <c r="AJ17" s="72">
        <f t="shared" si="17"/>
        <v>0</v>
      </c>
      <c r="AK17" s="72" t="str">
        <f>IF(OR(AJ17="",AI17=""),"",IF(AJ17&lt;='OS-DORAEN'!$B$5,"PASS","FAIL"))</f>
        <v>PASS</v>
      </c>
      <c r="AL17" s="72" t="str">
        <f t="shared" si="18"/>
        <v/>
      </c>
      <c r="AM17" s="72" t="str">
        <f t="shared" si="19"/>
        <v/>
      </c>
      <c r="AN17" s="72" t="str">
        <f t="shared" si="20"/>
        <v/>
      </c>
      <c r="AO17" s="72" t="str">
        <f t="shared" si="21"/>
        <v>PASS</v>
      </c>
      <c r="AP17" s="72" t="str">
        <f t="shared" si="22"/>
        <v/>
      </c>
      <c r="AQ17" s="72" t="str">
        <f t="shared" si="23"/>
        <v/>
      </c>
      <c r="AR17" s="72" t="str">
        <f t="shared" ref="AR17:AR48" si="41">IF(OR(B17="",E17=""),"","MCCB")</f>
        <v/>
      </c>
      <c r="AS17" s="72">
        <f t="shared" si="25"/>
        <v>0</v>
      </c>
      <c r="AT17" s="72">
        <f>IF(AS17="","",IF(AS17&lt;=Lists!$J$2,Lists!$J$2,IFERROR(INDEX(Lists!$J$2:$J$28,IF(INDEX(Lists!$J$2:$J$28,MATCH(AS17,Lists!$J$2:$J$28,1))=AS17,MATCH(AS17,Lists!$J$2:$J$28,1),MATCH(AS17,Lists!$J$2:$J$28,1)+1)),"NO STANDARD CB")))</f>
        <v>16</v>
      </c>
      <c r="AU17" s="72" t="str">
        <f t="shared" si="26"/>
        <v>Manufacturer-specific adjustable trip unit</v>
      </c>
      <c r="AV17" s="72">
        <f t="shared" si="27"/>
        <v>0</v>
      </c>
      <c r="AW17" s="72" t="str">
        <f t="shared" si="28"/>
        <v>Verify manufacturer instantaneous/magnetic pickup</v>
      </c>
      <c r="AX17" s="72" t="str">
        <f t="shared" si="29"/>
        <v>VERIFY MANUFACTURER</v>
      </c>
      <c r="AY17" s="72" t="str">
        <f t="shared" si="30"/>
        <v>PASS</v>
      </c>
      <c r="AZ17" s="72" t="str">
        <f t="shared" si="31"/>
        <v>16 A MCCB; target Ir 0.0 A; manufacturer trip-unit verification required</v>
      </c>
      <c r="BA17" s="73"/>
      <c r="BB17" s="72" t="str">
        <f t="shared" si="32"/>
        <v>ENTER CB Icu/Ics</v>
      </c>
      <c r="BC17" s="72" t="str">
        <f t="shared" si="33"/>
        <v>Enter manufacturer CB Icu/Ics. Required ≥ 0.00 kA</v>
      </c>
      <c r="BD17" s="72" t="str">
        <f>IF(OR(AS17="",AT17="",AV17=""),"",IF(AND(AT17&gt;=AS17,COUNTIF(Lists!$J$2:$J$28,AT17)&gt;0,AV17&gt;=AS17,AV17&lt;=AT17),"PASS","FAIL - REVIEW MCCB FRAME/TRIP UNIT"))</f>
        <v>PASS</v>
      </c>
      <c r="BE17" s="86"/>
      <c r="BF17" s="86" t="str">
        <f t="shared" si="34"/>
        <v>XLPE</v>
      </c>
      <c r="BG17" s="86" t="str">
        <f t="shared" si="35"/>
        <v>3C</v>
      </c>
      <c r="BH17" s="86" t="str">
        <f t="shared" si="36"/>
        <v>Al</v>
      </c>
      <c r="BI17" s="86" t="str">
        <f t="shared" si="37"/>
        <v>XLPE</v>
      </c>
      <c r="BJ17" s="86" t="str">
        <f t="shared" si="38"/>
        <v>Armoured</v>
      </c>
      <c r="BK17" s="86" t="str">
        <f t="shared" si="39"/>
        <v/>
      </c>
      <c r="BL17" s="86">
        <f>IFERROR(SUMIFS('Cable Data Master'!$K:$K,'Cable Data Master'!$A:$A,$BF17,'Cable Data Master'!$B:$B,$BG17,'Cable Data Master'!$C:$C,$BH17,'Cable Data Master'!$D:$D,$BI17,'Cable Data Master'!$E:$E,$BJ17,'Cable Data Master'!$F:$F,$BK17),"")</f>
        <v>0</v>
      </c>
      <c r="BM17" s="86">
        <f>IFERROR(SUMIFS('Cable Data Master'!$L:$L,'Cable Data Master'!$A:$A,$BF17,'Cable Data Master'!$B:$B,$BG17,'Cable Data Master'!$C:$C,$BH17,'Cable Data Master'!$D:$D,$BI17,'Cable Data Master'!$E:$E,$BJ17,'Cable Data Master'!$F:$F,$BK17),"")</f>
        <v>0</v>
      </c>
      <c r="BN17" s="86">
        <f>IFERROR(SUMIFS('Cable Data Master'!$G:$G,'Cable Data Master'!$A:$A,$BF17,'Cable Data Master'!$B:$B,$BG17,'Cable Data Master'!$C:$C,$BH17,'Cable Data Master'!$D:$D,$BI17,'Cable Data Master'!$E:$E,$BJ17,'Cable Data Master'!$F:$F,$BK17),"")</f>
        <v>0</v>
      </c>
      <c r="BO17" s="86">
        <f>IFERROR(SUMIFS('Cable Data Master'!$H:$H,'Cable Data Master'!$A:$A,$BF17,'Cable Data Master'!$B:$B,$BG17,'Cable Data Master'!$C:$C,$BH17,'Cable Data Master'!$D:$D,$BI17,'Cable Data Master'!$E:$E,$BJ17,'Cable Data Master'!$F:$F,$BK17),"")</f>
        <v>0</v>
      </c>
      <c r="BP17" s="86">
        <f>IFERROR(SUMIFS('Cable Data Master'!$I:$I,'Cable Data Master'!$A:$A,$BF17,'Cable Data Master'!$B:$B,$BG17,'Cable Data Master'!$C:$C,$BH17,'Cable Data Master'!$D:$D,$BI17,'Cable Data Master'!$E:$E,$BJ17,'Cable Data Master'!$F:$F,$BK17),"")</f>
        <v>0</v>
      </c>
      <c r="BQ17" s="86">
        <f>IFERROR(SUMIFS('Cable Data Master'!$J:$J,'Cable Data Master'!$A:$A,$BF17,'Cable Data Master'!$B:$B,$BG17,'Cable Data Master'!$C:$C,$BH17,'Cable Data Master'!$D:$D,$BI17,'Cable Data Master'!$E:$E,$BJ17,'Cable Data Master'!$F:$F,$BK17),"")</f>
        <v>0</v>
      </c>
      <c r="BR17" s="86"/>
    </row>
    <row r="18" spans="1:70" s="87" customFormat="1" ht="30" customHeight="1" x14ac:dyDescent="0.35">
      <c r="A18" s="72">
        <v>15</v>
      </c>
      <c r="B18" s="73"/>
      <c r="C18" s="73"/>
      <c r="D18" s="74">
        <v>4.5</v>
      </c>
      <c r="E18" s="74"/>
      <c r="F18" s="74" t="s">
        <v>132</v>
      </c>
      <c r="G18" s="72" t="str">
        <f>IF(OR(C18="",D18="",E18="",H18="",J18="",K18="",L18="",M18="",N18="",O18="",P18="",Q18="",R18="",S18=""),"",IFERROR(LOOKUP(2,1/(('AUTO ENGINE'!$A$2:$A$1201=ROW())*('AUTO ENGINE'!$M$2:$M$1201=1)),'AUTO ENGINE'!$B$2:$B$1201),"NO CABLE PASSES"))</f>
        <v/>
      </c>
      <c r="H18" s="73" t="s">
        <v>133</v>
      </c>
      <c r="I18" s="72">
        <f t="shared" si="0"/>
        <v>0</v>
      </c>
      <c r="J18" s="73">
        <v>1</v>
      </c>
      <c r="K18" s="73">
        <v>415</v>
      </c>
      <c r="L18" s="73">
        <v>0.53</v>
      </c>
      <c r="M18" s="73">
        <v>0.85</v>
      </c>
      <c r="N18" s="73">
        <v>0.95399999999999996</v>
      </c>
      <c r="O18" s="73"/>
      <c r="P18" s="73">
        <v>1.5</v>
      </c>
      <c r="Q18" s="73">
        <v>0.3</v>
      </c>
      <c r="R18" s="72">
        <f t="shared" si="1"/>
        <v>0</v>
      </c>
      <c r="S18" s="73">
        <v>0.2</v>
      </c>
      <c r="T18" s="72">
        <f t="shared" si="2"/>
        <v>0</v>
      </c>
      <c r="U18" s="72">
        <f t="shared" si="40"/>
        <v>0</v>
      </c>
      <c r="V18" s="72">
        <f t="shared" si="4"/>
        <v>0</v>
      </c>
      <c r="W18" s="72">
        <f t="shared" si="5"/>
        <v>0</v>
      </c>
      <c r="X18" s="72">
        <f t="shared" si="6"/>
        <v>0</v>
      </c>
      <c r="Y18" s="72">
        <f t="shared" si="7"/>
        <v>0</v>
      </c>
      <c r="Z18" s="72" t="str">
        <f t="shared" si="8"/>
        <v>PASS</v>
      </c>
      <c r="AA18" s="72">
        <f t="shared" si="9"/>
        <v>0</v>
      </c>
      <c r="AB18" s="72">
        <f t="shared" si="10"/>
        <v>0.95393920141694566</v>
      </c>
      <c r="AC18" s="72">
        <f t="shared" si="11"/>
        <v>0</v>
      </c>
      <c r="AD18" s="72">
        <f t="shared" si="12"/>
        <v>0</v>
      </c>
      <c r="AE18" s="72">
        <f t="shared" si="13"/>
        <v>0</v>
      </c>
      <c r="AF18" s="72" t="str">
        <f>IF(OR(AE18="",AD18=""),"",IF(AE18&lt;='OS-DORAEN'!$B$6,"PASS","FAIL"))</f>
        <v>PASS</v>
      </c>
      <c r="AG18" s="72">
        <f t="shared" si="14"/>
        <v>0.52678268764263703</v>
      </c>
      <c r="AH18" s="72">
        <f t="shared" si="15"/>
        <v>0</v>
      </c>
      <c r="AI18" s="72">
        <f t="shared" si="16"/>
        <v>0</v>
      </c>
      <c r="AJ18" s="72">
        <f t="shared" si="17"/>
        <v>0</v>
      </c>
      <c r="AK18" s="72" t="str">
        <f>IF(OR(AJ18="",AI18=""),"",IF(AJ18&lt;='OS-DORAEN'!$B$5,"PASS","FAIL"))</f>
        <v>PASS</v>
      </c>
      <c r="AL18" s="72" t="str">
        <f t="shared" si="18"/>
        <v/>
      </c>
      <c r="AM18" s="72" t="str">
        <f t="shared" si="19"/>
        <v/>
      </c>
      <c r="AN18" s="72" t="str">
        <f t="shared" si="20"/>
        <v/>
      </c>
      <c r="AO18" s="72" t="str">
        <f t="shared" si="21"/>
        <v>PASS</v>
      </c>
      <c r="AP18" s="72" t="str">
        <f t="shared" si="22"/>
        <v/>
      </c>
      <c r="AQ18" s="72" t="str">
        <f t="shared" si="23"/>
        <v/>
      </c>
      <c r="AR18" s="72" t="str">
        <f t="shared" si="41"/>
        <v/>
      </c>
      <c r="AS18" s="72">
        <f t="shared" si="25"/>
        <v>0</v>
      </c>
      <c r="AT18" s="72">
        <f>IF(AS18="","",IF(AS18&lt;=Lists!$J$2,Lists!$J$2,IFERROR(INDEX(Lists!$J$2:$J$28,IF(INDEX(Lists!$J$2:$J$28,MATCH(AS18,Lists!$J$2:$J$28,1))=AS18,MATCH(AS18,Lists!$J$2:$J$28,1),MATCH(AS18,Lists!$J$2:$J$28,1)+1)),"NO STANDARD CB")))</f>
        <v>16</v>
      </c>
      <c r="AU18" s="72" t="str">
        <f t="shared" si="26"/>
        <v>Manufacturer-specific adjustable trip unit</v>
      </c>
      <c r="AV18" s="72">
        <f t="shared" si="27"/>
        <v>0</v>
      </c>
      <c r="AW18" s="72" t="str">
        <f t="shared" si="28"/>
        <v>Verify manufacturer instantaneous/magnetic pickup</v>
      </c>
      <c r="AX18" s="72" t="str">
        <f t="shared" si="29"/>
        <v>VERIFY MANUFACTURER</v>
      </c>
      <c r="AY18" s="72" t="str">
        <f t="shared" si="30"/>
        <v>PASS</v>
      </c>
      <c r="AZ18" s="72" t="str">
        <f t="shared" si="31"/>
        <v>16 A MCCB; target Ir 0.0 A; manufacturer trip-unit verification required</v>
      </c>
      <c r="BA18" s="73"/>
      <c r="BB18" s="72" t="str">
        <f t="shared" si="32"/>
        <v>ENTER CB Icu/Ics</v>
      </c>
      <c r="BC18" s="72" t="str">
        <f t="shared" si="33"/>
        <v>Enter manufacturer CB Icu/Ics. Required ≥ 0.00 kA</v>
      </c>
      <c r="BD18" s="72" t="str">
        <f>IF(OR(AS18="",AT18="",AV18=""),"",IF(AND(AT18&gt;=AS18,COUNTIF(Lists!$J$2:$J$28,AT18)&gt;0,AV18&gt;=AS18,AV18&lt;=AT18),"PASS","FAIL - REVIEW MCCB FRAME/TRIP UNIT"))</f>
        <v>PASS</v>
      </c>
      <c r="BE18" s="86"/>
      <c r="BF18" s="86" t="str">
        <f t="shared" si="34"/>
        <v>XLPE</v>
      </c>
      <c r="BG18" s="86" t="str">
        <f t="shared" si="35"/>
        <v>3C</v>
      </c>
      <c r="BH18" s="86" t="str">
        <f t="shared" si="36"/>
        <v>Al</v>
      </c>
      <c r="BI18" s="86" t="str">
        <f t="shared" si="37"/>
        <v>XLPE</v>
      </c>
      <c r="BJ18" s="86" t="str">
        <f t="shared" si="38"/>
        <v>Armoured</v>
      </c>
      <c r="BK18" s="86" t="str">
        <f t="shared" si="39"/>
        <v/>
      </c>
      <c r="BL18" s="86">
        <f>IFERROR(SUMIFS('Cable Data Master'!$K:$K,'Cable Data Master'!$A:$A,$BF18,'Cable Data Master'!$B:$B,$BG18,'Cable Data Master'!$C:$C,$BH18,'Cable Data Master'!$D:$D,$BI18,'Cable Data Master'!$E:$E,$BJ18,'Cable Data Master'!$F:$F,$BK18),"")</f>
        <v>0</v>
      </c>
      <c r="BM18" s="86">
        <f>IFERROR(SUMIFS('Cable Data Master'!$L:$L,'Cable Data Master'!$A:$A,$BF18,'Cable Data Master'!$B:$B,$BG18,'Cable Data Master'!$C:$C,$BH18,'Cable Data Master'!$D:$D,$BI18,'Cable Data Master'!$E:$E,$BJ18,'Cable Data Master'!$F:$F,$BK18),"")</f>
        <v>0</v>
      </c>
      <c r="BN18" s="86">
        <f>IFERROR(SUMIFS('Cable Data Master'!$G:$G,'Cable Data Master'!$A:$A,$BF18,'Cable Data Master'!$B:$B,$BG18,'Cable Data Master'!$C:$C,$BH18,'Cable Data Master'!$D:$D,$BI18,'Cable Data Master'!$E:$E,$BJ18,'Cable Data Master'!$F:$F,$BK18),"")</f>
        <v>0</v>
      </c>
      <c r="BO18" s="86">
        <f>IFERROR(SUMIFS('Cable Data Master'!$H:$H,'Cable Data Master'!$A:$A,$BF18,'Cable Data Master'!$B:$B,$BG18,'Cable Data Master'!$C:$C,$BH18,'Cable Data Master'!$D:$D,$BI18,'Cable Data Master'!$E:$E,$BJ18,'Cable Data Master'!$F:$F,$BK18),"")</f>
        <v>0</v>
      </c>
      <c r="BP18" s="86">
        <f>IFERROR(SUMIFS('Cable Data Master'!$I:$I,'Cable Data Master'!$A:$A,$BF18,'Cable Data Master'!$B:$B,$BG18,'Cable Data Master'!$C:$C,$BH18,'Cable Data Master'!$D:$D,$BI18,'Cable Data Master'!$E:$E,$BJ18,'Cable Data Master'!$F:$F,$BK18),"")</f>
        <v>0</v>
      </c>
      <c r="BQ18" s="86">
        <f>IFERROR(SUMIFS('Cable Data Master'!$J:$J,'Cable Data Master'!$A:$A,$BF18,'Cable Data Master'!$B:$B,$BG18,'Cable Data Master'!$C:$C,$BH18,'Cable Data Master'!$D:$D,$BI18,'Cable Data Master'!$E:$E,$BJ18,'Cable Data Master'!$F:$F,$BK18),"")</f>
        <v>0</v>
      </c>
      <c r="BR18" s="86"/>
    </row>
    <row r="19" spans="1:70" s="87" customFormat="1" ht="30" customHeight="1" x14ac:dyDescent="0.35">
      <c r="A19" s="72">
        <v>16</v>
      </c>
      <c r="B19" s="73"/>
      <c r="C19" s="73"/>
      <c r="D19" s="74">
        <v>4.5</v>
      </c>
      <c r="E19" s="74"/>
      <c r="F19" s="74" t="s">
        <v>132</v>
      </c>
      <c r="G19" s="72" t="str">
        <f>IF(OR(C19="",D19="",E19="",H19="",J19="",K19="",L19="",M19="",N19="",O19="",P19="",Q19="",R19="",S19=""),"",IFERROR(LOOKUP(2,1/(('AUTO ENGINE'!$A$2:$A$1201=ROW())*('AUTO ENGINE'!$M$2:$M$1201=1)),'AUTO ENGINE'!$B$2:$B$1201),"NO CABLE PASSES"))</f>
        <v/>
      </c>
      <c r="H19" s="73" t="s">
        <v>133</v>
      </c>
      <c r="I19" s="72">
        <f t="shared" si="0"/>
        <v>0</v>
      </c>
      <c r="J19" s="73">
        <v>1</v>
      </c>
      <c r="K19" s="73">
        <v>415</v>
      </c>
      <c r="L19" s="73">
        <v>0.53</v>
      </c>
      <c r="M19" s="73">
        <v>0.85</v>
      </c>
      <c r="N19" s="73">
        <v>0.95399999999999996</v>
      </c>
      <c r="O19" s="73"/>
      <c r="P19" s="73">
        <v>1.5</v>
      </c>
      <c r="Q19" s="73">
        <v>0.3</v>
      </c>
      <c r="R19" s="72">
        <f t="shared" si="1"/>
        <v>0</v>
      </c>
      <c r="S19" s="73">
        <v>0.2</v>
      </c>
      <c r="T19" s="72">
        <f t="shared" si="2"/>
        <v>0</v>
      </c>
      <c r="U19" s="72">
        <f t="shared" si="40"/>
        <v>0</v>
      </c>
      <c r="V19" s="72">
        <f t="shared" si="4"/>
        <v>0</v>
      </c>
      <c r="W19" s="72">
        <f t="shared" si="5"/>
        <v>0</v>
      </c>
      <c r="X19" s="72">
        <f t="shared" si="6"/>
        <v>0</v>
      </c>
      <c r="Y19" s="72">
        <f t="shared" si="7"/>
        <v>0</v>
      </c>
      <c r="Z19" s="72" t="str">
        <f t="shared" si="8"/>
        <v>PASS</v>
      </c>
      <c r="AA19" s="72">
        <f t="shared" si="9"/>
        <v>0</v>
      </c>
      <c r="AB19" s="72">
        <f t="shared" si="10"/>
        <v>0.95393920141694566</v>
      </c>
      <c r="AC19" s="72">
        <f t="shared" si="11"/>
        <v>0</v>
      </c>
      <c r="AD19" s="72">
        <f t="shared" si="12"/>
        <v>0</v>
      </c>
      <c r="AE19" s="72">
        <f t="shared" si="13"/>
        <v>0</v>
      </c>
      <c r="AF19" s="72" t="str">
        <f>IF(OR(AE19="",AD19=""),"",IF(AE19&lt;='OS-DORAEN'!$B$6,"PASS","FAIL"))</f>
        <v>PASS</v>
      </c>
      <c r="AG19" s="72">
        <f t="shared" si="14"/>
        <v>0.52678268764263703</v>
      </c>
      <c r="AH19" s="72">
        <f t="shared" si="15"/>
        <v>0</v>
      </c>
      <c r="AI19" s="72">
        <f t="shared" si="16"/>
        <v>0</v>
      </c>
      <c r="AJ19" s="72">
        <f t="shared" si="17"/>
        <v>0</v>
      </c>
      <c r="AK19" s="72" t="str">
        <f>IF(OR(AJ19="",AI19=""),"",IF(AJ19&lt;='OS-DORAEN'!$B$5,"PASS","FAIL"))</f>
        <v>PASS</v>
      </c>
      <c r="AL19" s="72" t="str">
        <f t="shared" si="18"/>
        <v/>
      </c>
      <c r="AM19" s="72" t="str">
        <f t="shared" si="19"/>
        <v/>
      </c>
      <c r="AN19" s="72" t="str">
        <f t="shared" si="20"/>
        <v/>
      </c>
      <c r="AO19" s="72" t="str">
        <f t="shared" si="21"/>
        <v>PASS</v>
      </c>
      <c r="AP19" s="72" t="str">
        <f t="shared" si="22"/>
        <v/>
      </c>
      <c r="AQ19" s="72" t="str">
        <f t="shared" si="23"/>
        <v/>
      </c>
      <c r="AR19" s="72" t="str">
        <f t="shared" si="41"/>
        <v/>
      </c>
      <c r="AS19" s="72">
        <f t="shared" si="25"/>
        <v>0</v>
      </c>
      <c r="AT19" s="72">
        <f>IF(AS19="","",IF(AS19&lt;=Lists!$J$2,Lists!$J$2,IFERROR(INDEX(Lists!$J$2:$J$28,IF(INDEX(Lists!$J$2:$J$28,MATCH(AS19,Lists!$J$2:$J$28,1))=AS19,MATCH(AS19,Lists!$J$2:$J$28,1),MATCH(AS19,Lists!$J$2:$J$28,1)+1)),"NO STANDARD CB")))</f>
        <v>16</v>
      </c>
      <c r="AU19" s="72" t="str">
        <f t="shared" si="26"/>
        <v>Manufacturer-specific adjustable trip unit</v>
      </c>
      <c r="AV19" s="72">
        <f t="shared" si="27"/>
        <v>0</v>
      </c>
      <c r="AW19" s="72" t="str">
        <f t="shared" si="28"/>
        <v>Verify manufacturer instantaneous/magnetic pickup</v>
      </c>
      <c r="AX19" s="72" t="str">
        <f t="shared" si="29"/>
        <v>VERIFY MANUFACTURER</v>
      </c>
      <c r="AY19" s="72" t="str">
        <f t="shared" si="30"/>
        <v>PASS</v>
      </c>
      <c r="AZ19" s="72" t="str">
        <f t="shared" si="31"/>
        <v>16 A MCCB; target Ir 0.0 A; manufacturer trip-unit verification required</v>
      </c>
      <c r="BA19" s="73"/>
      <c r="BB19" s="72" t="str">
        <f t="shared" si="32"/>
        <v>ENTER CB Icu/Ics</v>
      </c>
      <c r="BC19" s="72" t="str">
        <f t="shared" si="33"/>
        <v>Enter manufacturer CB Icu/Ics. Required ≥ 0.00 kA</v>
      </c>
      <c r="BD19" s="72" t="str">
        <f>IF(OR(AS19="",AT19="",AV19=""),"",IF(AND(AT19&gt;=AS19,COUNTIF(Lists!$J$2:$J$28,AT19)&gt;0,AV19&gt;=AS19,AV19&lt;=AT19),"PASS","FAIL - REVIEW MCCB FRAME/TRIP UNIT"))</f>
        <v>PASS</v>
      </c>
      <c r="BE19" s="86"/>
      <c r="BF19" s="86" t="str">
        <f t="shared" si="34"/>
        <v>XLPE</v>
      </c>
      <c r="BG19" s="86" t="str">
        <f t="shared" si="35"/>
        <v>3C</v>
      </c>
      <c r="BH19" s="86" t="str">
        <f t="shared" si="36"/>
        <v>Al</v>
      </c>
      <c r="BI19" s="86" t="str">
        <f t="shared" si="37"/>
        <v>XLPE</v>
      </c>
      <c r="BJ19" s="86" t="str">
        <f t="shared" si="38"/>
        <v>Armoured</v>
      </c>
      <c r="BK19" s="86" t="str">
        <f t="shared" si="39"/>
        <v/>
      </c>
      <c r="BL19" s="86">
        <f>IFERROR(SUMIFS('Cable Data Master'!$K:$K,'Cable Data Master'!$A:$A,$BF19,'Cable Data Master'!$B:$B,$BG19,'Cable Data Master'!$C:$C,$BH19,'Cable Data Master'!$D:$D,$BI19,'Cable Data Master'!$E:$E,$BJ19,'Cable Data Master'!$F:$F,$BK19),"")</f>
        <v>0</v>
      </c>
      <c r="BM19" s="86">
        <f>IFERROR(SUMIFS('Cable Data Master'!$L:$L,'Cable Data Master'!$A:$A,$BF19,'Cable Data Master'!$B:$B,$BG19,'Cable Data Master'!$C:$C,$BH19,'Cable Data Master'!$D:$D,$BI19,'Cable Data Master'!$E:$E,$BJ19,'Cable Data Master'!$F:$F,$BK19),"")</f>
        <v>0</v>
      </c>
      <c r="BN19" s="86">
        <f>IFERROR(SUMIFS('Cable Data Master'!$G:$G,'Cable Data Master'!$A:$A,$BF19,'Cable Data Master'!$B:$B,$BG19,'Cable Data Master'!$C:$C,$BH19,'Cable Data Master'!$D:$D,$BI19,'Cable Data Master'!$E:$E,$BJ19,'Cable Data Master'!$F:$F,$BK19),"")</f>
        <v>0</v>
      </c>
      <c r="BO19" s="86">
        <f>IFERROR(SUMIFS('Cable Data Master'!$H:$H,'Cable Data Master'!$A:$A,$BF19,'Cable Data Master'!$B:$B,$BG19,'Cable Data Master'!$C:$C,$BH19,'Cable Data Master'!$D:$D,$BI19,'Cable Data Master'!$E:$E,$BJ19,'Cable Data Master'!$F:$F,$BK19),"")</f>
        <v>0</v>
      </c>
      <c r="BP19" s="86">
        <f>IFERROR(SUMIFS('Cable Data Master'!$I:$I,'Cable Data Master'!$A:$A,$BF19,'Cable Data Master'!$B:$B,$BG19,'Cable Data Master'!$C:$C,$BH19,'Cable Data Master'!$D:$D,$BI19,'Cable Data Master'!$E:$E,$BJ19,'Cable Data Master'!$F:$F,$BK19),"")</f>
        <v>0</v>
      </c>
      <c r="BQ19" s="86">
        <f>IFERROR(SUMIFS('Cable Data Master'!$J:$J,'Cable Data Master'!$A:$A,$BF19,'Cable Data Master'!$B:$B,$BG19,'Cable Data Master'!$C:$C,$BH19,'Cable Data Master'!$D:$D,$BI19,'Cable Data Master'!$E:$E,$BJ19,'Cable Data Master'!$F:$F,$BK19),"")</f>
        <v>0</v>
      </c>
      <c r="BR19" s="86"/>
    </row>
    <row r="20" spans="1:70" s="87" customFormat="1" ht="30" customHeight="1" x14ac:dyDescent="0.35">
      <c r="A20" s="72">
        <v>17</v>
      </c>
      <c r="B20" s="73"/>
      <c r="C20" s="73"/>
      <c r="D20" s="74">
        <v>4.5</v>
      </c>
      <c r="E20" s="74"/>
      <c r="F20" s="74" t="s">
        <v>132</v>
      </c>
      <c r="G20" s="72" t="str">
        <f>IF(OR(C20="",D20="",E20="",H20="",J20="",K20="",L20="",M20="",N20="",O20="",P20="",Q20="",R20="",S20=""),"",IFERROR(LOOKUP(2,1/(('AUTO ENGINE'!$A$2:$A$1201=ROW())*('AUTO ENGINE'!$M$2:$M$1201=1)),'AUTO ENGINE'!$B$2:$B$1201),"NO CABLE PASSES"))</f>
        <v/>
      </c>
      <c r="H20" s="73" t="s">
        <v>133</v>
      </c>
      <c r="I20" s="72">
        <f t="shared" si="0"/>
        <v>0</v>
      </c>
      <c r="J20" s="73">
        <v>1</v>
      </c>
      <c r="K20" s="73">
        <v>415</v>
      </c>
      <c r="L20" s="73">
        <v>0.53</v>
      </c>
      <c r="M20" s="73">
        <v>0.85</v>
      </c>
      <c r="N20" s="73">
        <v>0.95399999999999996</v>
      </c>
      <c r="O20" s="73"/>
      <c r="P20" s="73">
        <v>1.5</v>
      </c>
      <c r="Q20" s="73">
        <v>0.3</v>
      </c>
      <c r="R20" s="72">
        <f t="shared" si="1"/>
        <v>0</v>
      </c>
      <c r="S20" s="73">
        <v>0.2</v>
      </c>
      <c r="T20" s="72">
        <f t="shared" si="2"/>
        <v>0</v>
      </c>
      <c r="U20" s="72">
        <f t="shared" si="40"/>
        <v>0</v>
      </c>
      <c r="V20" s="72">
        <f t="shared" si="4"/>
        <v>0</v>
      </c>
      <c r="W20" s="72">
        <f t="shared" si="5"/>
        <v>0</v>
      </c>
      <c r="X20" s="72">
        <f t="shared" si="6"/>
        <v>0</v>
      </c>
      <c r="Y20" s="72">
        <f t="shared" si="7"/>
        <v>0</v>
      </c>
      <c r="Z20" s="72" t="str">
        <f t="shared" si="8"/>
        <v>PASS</v>
      </c>
      <c r="AA20" s="72">
        <f t="shared" si="9"/>
        <v>0</v>
      </c>
      <c r="AB20" s="72">
        <f t="shared" si="10"/>
        <v>0.95393920141694566</v>
      </c>
      <c r="AC20" s="72">
        <f t="shared" si="11"/>
        <v>0</v>
      </c>
      <c r="AD20" s="72">
        <f t="shared" si="12"/>
        <v>0</v>
      </c>
      <c r="AE20" s="72">
        <f t="shared" si="13"/>
        <v>0</v>
      </c>
      <c r="AF20" s="72" t="str">
        <f>IF(OR(AE20="",AD20=""),"",IF(AE20&lt;='OS-DORAEN'!$B$6,"PASS","FAIL"))</f>
        <v>PASS</v>
      </c>
      <c r="AG20" s="72">
        <f t="shared" si="14"/>
        <v>0.52678268764263703</v>
      </c>
      <c r="AH20" s="72">
        <f t="shared" si="15"/>
        <v>0</v>
      </c>
      <c r="AI20" s="72">
        <f t="shared" si="16"/>
        <v>0</v>
      </c>
      <c r="AJ20" s="72">
        <f t="shared" si="17"/>
        <v>0</v>
      </c>
      <c r="AK20" s="72" t="str">
        <f>IF(OR(AJ20="",AI20=""),"",IF(AJ20&lt;='OS-DORAEN'!$B$5,"PASS","FAIL"))</f>
        <v>PASS</v>
      </c>
      <c r="AL20" s="72" t="str">
        <f t="shared" si="18"/>
        <v/>
      </c>
      <c r="AM20" s="72" t="str">
        <f t="shared" si="19"/>
        <v/>
      </c>
      <c r="AN20" s="72" t="str">
        <f t="shared" si="20"/>
        <v/>
      </c>
      <c r="AO20" s="72" t="str">
        <f t="shared" si="21"/>
        <v>PASS</v>
      </c>
      <c r="AP20" s="72" t="str">
        <f t="shared" si="22"/>
        <v/>
      </c>
      <c r="AQ20" s="72" t="str">
        <f t="shared" si="23"/>
        <v/>
      </c>
      <c r="AR20" s="72" t="str">
        <f t="shared" si="41"/>
        <v/>
      </c>
      <c r="AS20" s="72">
        <f t="shared" si="25"/>
        <v>0</v>
      </c>
      <c r="AT20" s="72">
        <f>IF(AS20="","",IF(AS20&lt;=Lists!$J$2,Lists!$J$2,IFERROR(INDEX(Lists!$J$2:$J$28,IF(INDEX(Lists!$J$2:$J$28,MATCH(AS20,Lists!$J$2:$J$28,1))=AS20,MATCH(AS20,Lists!$J$2:$J$28,1),MATCH(AS20,Lists!$J$2:$J$28,1)+1)),"NO STANDARD CB")))</f>
        <v>16</v>
      </c>
      <c r="AU20" s="72" t="str">
        <f t="shared" si="26"/>
        <v>Manufacturer-specific adjustable trip unit</v>
      </c>
      <c r="AV20" s="72">
        <f t="shared" si="27"/>
        <v>0</v>
      </c>
      <c r="AW20" s="72" t="str">
        <f t="shared" si="28"/>
        <v>Verify manufacturer instantaneous/magnetic pickup</v>
      </c>
      <c r="AX20" s="72" t="str">
        <f t="shared" si="29"/>
        <v>VERIFY MANUFACTURER</v>
      </c>
      <c r="AY20" s="72" t="str">
        <f t="shared" si="30"/>
        <v>PASS</v>
      </c>
      <c r="AZ20" s="72" t="str">
        <f t="shared" si="31"/>
        <v>16 A MCCB; target Ir 0.0 A; manufacturer trip-unit verification required</v>
      </c>
      <c r="BA20" s="73"/>
      <c r="BB20" s="72" t="str">
        <f t="shared" si="32"/>
        <v>ENTER CB Icu/Ics</v>
      </c>
      <c r="BC20" s="72" t="str">
        <f t="shared" si="33"/>
        <v>Enter manufacturer CB Icu/Ics. Required ≥ 0.00 kA</v>
      </c>
      <c r="BD20" s="72" t="str">
        <f>IF(OR(AS20="",AT20="",AV20=""),"",IF(AND(AT20&gt;=AS20,COUNTIF(Lists!$J$2:$J$28,AT20)&gt;0,AV20&gt;=AS20,AV20&lt;=AT20),"PASS","FAIL - REVIEW MCCB FRAME/TRIP UNIT"))</f>
        <v>PASS</v>
      </c>
      <c r="BE20" s="86"/>
      <c r="BF20" s="86" t="str">
        <f t="shared" si="34"/>
        <v>XLPE</v>
      </c>
      <c r="BG20" s="86" t="str">
        <f t="shared" si="35"/>
        <v>3C</v>
      </c>
      <c r="BH20" s="86" t="str">
        <f t="shared" si="36"/>
        <v>Al</v>
      </c>
      <c r="BI20" s="86" t="str">
        <f t="shared" si="37"/>
        <v>XLPE</v>
      </c>
      <c r="BJ20" s="86" t="str">
        <f t="shared" si="38"/>
        <v>Armoured</v>
      </c>
      <c r="BK20" s="86" t="str">
        <f t="shared" si="39"/>
        <v/>
      </c>
      <c r="BL20" s="86">
        <f>IFERROR(SUMIFS('Cable Data Master'!$K:$K,'Cable Data Master'!$A:$A,$BF20,'Cable Data Master'!$B:$B,$BG20,'Cable Data Master'!$C:$C,$BH20,'Cable Data Master'!$D:$D,$BI20,'Cable Data Master'!$E:$E,$BJ20,'Cable Data Master'!$F:$F,$BK20),"")</f>
        <v>0</v>
      </c>
      <c r="BM20" s="86">
        <f>IFERROR(SUMIFS('Cable Data Master'!$L:$L,'Cable Data Master'!$A:$A,$BF20,'Cable Data Master'!$B:$B,$BG20,'Cable Data Master'!$C:$C,$BH20,'Cable Data Master'!$D:$D,$BI20,'Cable Data Master'!$E:$E,$BJ20,'Cable Data Master'!$F:$F,$BK20),"")</f>
        <v>0</v>
      </c>
      <c r="BN20" s="86">
        <f>IFERROR(SUMIFS('Cable Data Master'!$G:$G,'Cable Data Master'!$A:$A,$BF20,'Cable Data Master'!$B:$B,$BG20,'Cable Data Master'!$C:$C,$BH20,'Cable Data Master'!$D:$D,$BI20,'Cable Data Master'!$E:$E,$BJ20,'Cable Data Master'!$F:$F,$BK20),"")</f>
        <v>0</v>
      </c>
      <c r="BO20" s="86">
        <f>IFERROR(SUMIFS('Cable Data Master'!$H:$H,'Cable Data Master'!$A:$A,$BF20,'Cable Data Master'!$B:$B,$BG20,'Cable Data Master'!$C:$C,$BH20,'Cable Data Master'!$D:$D,$BI20,'Cable Data Master'!$E:$E,$BJ20,'Cable Data Master'!$F:$F,$BK20),"")</f>
        <v>0</v>
      </c>
      <c r="BP20" s="86">
        <f>IFERROR(SUMIFS('Cable Data Master'!$I:$I,'Cable Data Master'!$A:$A,$BF20,'Cable Data Master'!$B:$B,$BG20,'Cable Data Master'!$C:$C,$BH20,'Cable Data Master'!$D:$D,$BI20,'Cable Data Master'!$E:$E,$BJ20,'Cable Data Master'!$F:$F,$BK20),"")</f>
        <v>0</v>
      </c>
      <c r="BQ20" s="86">
        <f>IFERROR(SUMIFS('Cable Data Master'!$J:$J,'Cable Data Master'!$A:$A,$BF20,'Cable Data Master'!$B:$B,$BG20,'Cable Data Master'!$C:$C,$BH20,'Cable Data Master'!$D:$D,$BI20,'Cable Data Master'!$E:$E,$BJ20,'Cable Data Master'!$F:$F,$BK20),"")</f>
        <v>0</v>
      </c>
      <c r="BR20" s="86"/>
    </row>
    <row r="21" spans="1:70" s="87" customFormat="1" ht="30" customHeight="1" x14ac:dyDescent="0.35">
      <c r="A21" s="72">
        <v>18</v>
      </c>
      <c r="B21" s="73"/>
      <c r="C21" s="73"/>
      <c r="D21" s="74">
        <v>4.5</v>
      </c>
      <c r="E21" s="74"/>
      <c r="F21" s="74" t="s">
        <v>132</v>
      </c>
      <c r="G21" s="72" t="str">
        <f>IF(OR(C21="",D21="",E21="",H21="",J21="",K21="",L21="",M21="",N21="",O21="",P21="",Q21="",R21="",S21=""),"",IFERROR(LOOKUP(2,1/(('AUTO ENGINE'!$A$2:$A$1201=ROW())*('AUTO ENGINE'!$M$2:$M$1201=1)),'AUTO ENGINE'!$B$2:$B$1201),"NO CABLE PASSES"))</f>
        <v/>
      </c>
      <c r="H21" s="73" t="s">
        <v>133</v>
      </c>
      <c r="I21" s="72">
        <f t="shared" si="0"/>
        <v>0</v>
      </c>
      <c r="J21" s="73">
        <v>1</v>
      </c>
      <c r="K21" s="73">
        <v>415</v>
      </c>
      <c r="L21" s="73">
        <v>0.53</v>
      </c>
      <c r="M21" s="73">
        <v>0.85</v>
      </c>
      <c r="N21" s="73">
        <v>0.95399999999999996</v>
      </c>
      <c r="O21" s="73"/>
      <c r="P21" s="73">
        <v>1.5</v>
      </c>
      <c r="Q21" s="73">
        <v>0.3</v>
      </c>
      <c r="R21" s="72">
        <f t="shared" si="1"/>
        <v>0</v>
      </c>
      <c r="S21" s="73">
        <v>0.2</v>
      </c>
      <c r="T21" s="72">
        <f t="shared" si="2"/>
        <v>0</v>
      </c>
      <c r="U21" s="72">
        <f t="shared" si="40"/>
        <v>0</v>
      </c>
      <c r="V21" s="72">
        <f t="shared" si="4"/>
        <v>0</v>
      </c>
      <c r="W21" s="72">
        <f t="shared" si="5"/>
        <v>0</v>
      </c>
      <c r="X21" s="72">
        <f t="shared" si="6"/>
        <v>0</v>
      </c>
      <c r="Y21" s="72">
        <f t="shared" si="7"/>
        <v>0</v>
      </c>
      <c r="Z21" s="72" t="str">
        <f t="shared" si="8"/>
        <v>PASS</v>
      </c>
      <c r="AA21" s="72">
        <f t="shared" si="9"/>
        <v>0</v>
      </c>
      <c r="AB21" s="72">
        <f t="shared" si="10"/>
        <v>0.95393920141694566</v>
      </c>
      <c r="AC21" s="72">
        <f t="shared" si="11"/>
        <v>0</v>
      </c>
      <c r="AD21" s="72">
        <f t="shared" si="12"/>
        <v>0</v>
      </c>
      <c r="AE21" s="72">
        <f t="shared" si="13"/>
        <v>0</v>
      </c>
      <c r="AF21" s="72" t="str">
        <f>IF(OR(AE21="",AD21=""),"",IF(AE21&lt;='OS-DORAEN'!$B$6,"PASS","FAIL"))</f>
        <v>PASS</v>
      </c>
      <c r="AG21" s="72">
        <f t="shared" si="14"/>
        <v>0.52678268764263703</v>
      </c>
      <c r="AH21" s="72">
        <f t="shared" si="15"/>
        <v>0</v>
      </c>
      <c r="AI21" s="72">
        <f t="shared" si="16"/>
        <v>0</v>
      </c>
      <c r="AJ21" s="72">
        <f t="shared" si="17"/>
        <v>0</v>
      </c>
      <c r="AK21" s="72" t="str">
        <f>IF(OR(AJ21="",AI21=""),"",IF(AJ21&lt;='OS-DORAEN'!$B$5,"PASS","FAIL"))</f>
        <v>PASS</v>
      </c>
      <c r="AL21" s="72" t="str">
        <f t="shared" si="18"/>
        <v/>
      </c>
      <c r="AM21" s="72" t="str">
        <f t="shared" si="19"/>
        <v/>
      </c>
      <c r="AN21" s="72" t="str">
        <f t="shared" si="20"/>
        <v/>
      </c>
      <c r="AO21" s="72" t="str">
        <f t="shared" si="21"/>
        <v>PASS</v>
      </c>
      <c r="AP21" s="72" t="str">
        <f t="shared" si="22"/>
        <v/>
      </c>
      <c r="AQ21" s="72" t="str">
        <f t="shared" si="23"/>
        <v/>
      </c>
      <c r="AR21" s="72" t="str">
        <f t="shared" si="41"/>
        <v/>
      </c>
      <c r="AS21" s="72">
        <f t="shared" si="25"/>
        <v>0</v>
      </c>
      <c r="AT21" s="72">
        <f>IF(AS21="","",IF(AS21&lt;=Lists!$J$2,Lists!$J$2,IFERROR(INDEX(Lists!$J$2:$J$28,IF(INDEX(Lists!$J$2:$J$28,MATCH(AS21,Lists!$J$2:$J$28,1))=AS21,MATCH(AS21,Lists!$J$2:$J$28,1),MATCH(AS21,Lists!$J$2:$J$28,1)+1)),"NO STANDARD CB")))</f>
        <v>16</v>
      </c>
      <c r="AU21" s="72" t="str">
        <f t="shared" si="26"/>
        <v>Manufacturer-specific adjustable trip unit</v>
      </c>
      <c r="AV21" s="72">
        <f t="shared" si="27"/>
        <v>0</v>
      </c>
      <c r="AW21" s="72" t="str">
        <f t="shared" si="28"/>
        <v>Verify manufacturer instantaneous/magnetic pickup</v>
      </c>
      <c r="AX21" s="72" t="str">
        <f t="shared" si="29"/>
        <v>VERIFY MANUFACTURER</v>
      </c>
      <c r="AY21" s="72" t="str">
        <f t="shared" si="30"/>
        <v>PASS</v>
      </c>
      <c r="AZ21" s="72" t="str">
        <f t="shared" si="31"/>
        <v>16 A MCCB; target Ir 0.0 A; manufacturer trip-unit verification required</v>
      </c>
      <c r="BA21" s="73"/>
      <c r="BB21" s="72" t="str">
        <f t="shared" si="32"/>
        <v>ENTER CB Icu/Ics</v>
      </c>
      <c r="BC21" s="72" t="str">
        <f t="shared" si="33"/>
        <v>Enter manufacturer CB Icu/Ics. Required ≥ 0.00 kA</v>
      </c>
      <c r="BD21" s="72" t="str">
        <f>IF(OR(AS21="",AT21="",AV21=""),"",IF(AND(AT21&gt;=AS21,COUNTIF(Lists!$J$2:$J$28,AT21)&gt;0,AV21&gt;=AS21,AV21&lt;=AT21),"PASS","FAIL - REVIEW MCCB FRAME/TRIP UNIT"))</f>
        <v>PASS</v>
      </c>
      <c r="BE21" s="86"/>
      <c r="BF21" s="86" t="str">
        <f t="shared" si="34"/>
        <v>XLPE</v>
      </c>
      <c r="BG21" s="86" t="str">
        <f t="shared" si="35"/>
        <v>3C</v>
      </c>
      <c r="BH21" s="86" t="str">
        <f t="shared" si="36"/>
        <v>Al</v>
      </c>
      <c r="BI21" s="86" t="str">
        <f t="shared" si="37"/>
        <v>XLPE</v>
      </c>
      <c r="BJ21" s="86" t="str">
        <f t="shared" si="38"/>
        <v>Armoured</v>
      </c>
      <c r="BK21" s="86" t="str">
        <f t="shared" si="39"/>
        <v/>
      </c>
      <c r="BL21" s="86">
        <f>IFERROR(SUMIFS('Cable Data Master'!$K:$K,'Cable Data Master'!$A:$A,$BF21,'Cable Data Master'!$B:$B,$BG21,'Cable Data Master'!$C:$C,$BH21,'Cable Data Master'!$D:$D,$BI21,'Cable Data Master'!$E:$E,$BJ21,'Cable Data Master'!$F:$F,$BK21),"")</f>
        <v>0</v>
      </c>
      <c r="BM21" s="86">
        <f>IFERROR(SUMIFS('Cable Data Master'!$L:$L,'Cable Data Master'!$A:$A,$BF21,'Cable Data Master'!$B:$B,$BG21,'Cable Data Master'!$C:$C,$BH21,'Cable Data Master'!$D:$D,$BI21,'Cable Data Master'!$E:$E,$BJ21,'Cable Data Master'!$F:$F,$BK21),"")</f>
        <v>0</v>
      </c>
      <c r="BN21" s="86">
        <f>IFERROR(SUMIFS('Cable Data Master'!$G:$G,'Cable Data Master'!$A:$A,$BF21,'Cable Data Master'!$B:$B,$BG21,'Cable Data Master'!$C:$C,$BH21,'Cable Data Master'!$D:$D,$BI21,'Cable Data Master'!$E:$E,$BJ21,'Cable Data Master'!$F:$F,$BK21),"")</f>
        <v>0</v>
      </c>
      <c r="BO21" s="86">
        <f>IFERROR(SUMIFS('Cable Data Master'!$H:$H,'Cable Data Master'!$A:$A,$BF21,'Cable Data Master'!$B:$B,$BG21,'Cable Data Master'!$C:$C,$BH21,'Cable Data Master'!$D:$D,$BI21,'Cable Data Master'!$E:$E,$BJ21,'Cable Data Master'!$F:$F,$BK21),"")</f>
        <v>0</v>
      </c>
      <c r="BP21" s="86">
        <f>IFERROR(SUMIFS('Cable Data Master'!$I:$I,'Cable Data Master'!$A:$A,$BF21,'Cable Data Master'!$B:$B,$BG21,'Cable Data Master'!$C:$C,$BH21,'Cable Data Master'!$D:$D,$BI21,'Cable Data Master'!$E:$E,$BJ21,'Cable Data Master'!$F:$F,$BK21),"")</f>
        <v>0</v>
      </c>
      <c r="BQ21" s="86">
        <f>IFERROR(SUMIFS('Cable Data Master'!$J:$J,'Cable Data Master'!$A:$A,$BF21,'Cable Data Master'!$B:$B,$BG21,'Cable Data Master'!$C:$C,$BH21,'Cable Data Master'!$D:$D,$BI21,'Cable Data Master'!$E:$E,$BJ21,'Cable Data Master'!$F:$F,$BK21),"")</f>
        <v>0</v>
      </c>
      <c r="BR21" s="86"/>
    </row>
    <row r="22" spans="1:70" s="87" customFormat="1" ht="30" customHeight="1" x14ac:dyDescent="0.35">
      <c r="A22" s="72">
        <v>19</v>
      </c>
      <c r="B22" s="73"/>
      <c r="C22" s="73"/>
      <c r="D22" s="74">
        <v>4.5</v>
      </c>
      <c r="E22" s="74"/>
      <c r="F22" s="74" t="s">
        <v>132</v>
      </c>
      <c r="G22" s="72" t="str">
        <f>IF(OR(C22="",D22="",E22="",H22="",J22="",K22="",L22="",M22="",N22="",O22="",P22="",Q22="",R22="",S22=""),"",IFERROR(LOOKUP(2,1/(('AUTO ENGINE'!$A$2:$A$1201=ROW())*('AUTO ENGINE'!$M$2:$M$1201=1)),'AUTO ENGINE'!$B$2:$B$1201),"NO CABLE PASSES"))</f>
        <v/>
      </c>
      <c r="H22" s="73" t="s">
        <v>133</v>
      </c>
      <c r="I22" s="72">
        <f t="shared" si="0"/>
        <v>0</v>
      </c>
      <c r="J22" s="73">
        <v>1</v>
      </c>
      <c r="K22" s="73">
        <v>415</v>
      </c>
      <c r="L22" s="73">
        <v>0.53</v>
      </c>
      <c r="M22" s="73">
        <v>0.85</v>
      </c>
      <c r="N22" s="73">
        <v>0.95399999999999996</v>
      </c>
      <c r="O22" s="73"/>
      <c r="P22" s="73">
        <v>1.5</v>
      </c>
      <c r="Q22" s="73">
        <v>0.3</v>
      </c>
      <c r="R22" s="72">
        <f t="shared" si="1"/>
        <v>0</v>
      </c>
      <c r="S22" s="73">
        <v>0.2</v>
      </c>
      <c r="T22" s="72">
        <f t="shared" si="2"/>
        <v>0</v>
      </c>
      <c r="U22" s="72">
        <f t="shared" si="40"/>
        <v>0</v>
      </c>
      <c r="V22" s="72">
        <f t="shared" si="4"/>
        <v>0</v>
      </c>
      <c r="W22" s="72">
        <f t="shared" si="5"/>
        <v>0</v>
      </c>
      <c r="X22" s="72">
        <f t="shared" si="6"/>
        <v>0</v>
      </c>
      <c r="Y22" s="72">
        <f t="shared" si="7"/>
        <v>0</v>
      </c>
      <c r="Z22" s="72" t="str">
        <f t="shared" si="8"/>
        <v>PASS</v>
      </c>
      <c r="AA22" s="72">
        <f t="shared" si="9"/>
        <v>0</v>
      </c>
      <c r="AB22" s="72">
        <f t="shared" si="10"/>
        <v>0.95393920141694566</v>
      </c>
      <c r="AC22" s="72">
        <f t="shared" si="11"/>
        <v>0</v>
      </c>
      <c r="AD22" s="72">
        <f t="shared" si="12"/>
        <v>0</v>
      </c>
      <c r="AE22" s="72">
        <f t="shared" si="13"/>
        <v>0</v>
      </c>
      <c r="AF22" s="72" t="str">
        <f>IF(OR(AE22="",AD22=""),"",IF(AE22&lt;='OS-DORAEN'!$B$6,"PASS","FAIL"))</f>
        <v>PASS</v>
      </c>
      <c r="AG22" s="72">
        <f t="shared" si="14"/>
        <v>0.52678268764263703</v>
      </c>
      <c r="AH22" s="72">
        <f t="shared" si="15"/>
        <v>0</v>
      </c>
      <c r="AI22" s="72">
        <f t="shared" si="16"/>
        <v>0</v>
      </c>
      <c r="AJ22" s="72">
        <f t="shared" si="17"/>
        <v>0</v>
      </c>
      <c r="AK22" s="72" t="str">
        <f>IF(OR(AJ22="",AI22=""),"",IF(AJ22&lt;='OS-DORAEN'!$B$5,"PASS","FAIL"))</f>
        <v>PASS</v>
      </c>
      <c r="AL22" s="72" t="str">
        <f t="shared" si="18"/>
        <v/>
      </c>
      <c r="AM22" s="72" t="str">
        <f t="shared" si="19"/>
        <v/>
      </c>
      <c r="AN22" s="72" t="str">
        <f t="shared" si="20"/>
        <v/>
      </c>
      <c r="AO22" s="72" t="str">
        <f t="shared" si="21"/>
        <v>PASS</v>
      </c>
      <c r="AP22" s="72" t="str">
        <f t="shared" si="22"/>
        <v/>
      </c>
      <c r="AQ22" s="72" t="str">
        <f t="shared" si="23"/>
        <v/>
      </c>
      <c r="AR22" s="72" t="str">
        <f t="shared" si="41"/>
        <v/>
      </c>
      <c r="AS22" s="72">
        <f t="shared" si="25"/>
        <v>0</v>
      </c>
      <c r="AT22" s="72">
        <f>IF(AS22="","",IF(AS22&lt;=Lists!$J$2,Lists!$J$2,IFERROR(INDEX(Lists!$J$2:$J$28,IF(INDEX(Lists!$J$2:$J$28,MATCH(AS22,Lists!$J$2:$J$28,1))=AS22,MATCH(AS22,Lists!$J$2:$J$28,1),MATCH(AS22,Lists!$J$2:$J$28,1)+1)),"NO STANDARD CB")))</f>
        <v>16</v>
      </c>
      <c r="AU22" s="72" t="str">
        <f t="shared" si="26"/>
        <v>Manufacturer-specific adjustable trip unit</v>
      </c>
      <c r="AV22" s="72">
        <f t="shared" si="27"/>
        <v>0</v>
      </c>
      <c r="AW22" s="72" t="str">
        <f t="shared" si="28"/>
        <v>Verify manufacturer instantaneous/magnetic pickup</v>
      </c>
      <c r="AX22" s="72" t="str">
        <f t="shared" si="29"/>
        <v>VERIFY MANUFACTURER</v>
      </c>
      <c r="AY22" s="72" t="str">
        <f t="shared" si="30"/>
        <v>PASS</v>
      </c>
      <c r="AZ22" s="72" t="str">
        <f t="shared" si="31"/>
        <v>16 A MCCB; target Ir 0.0 A; manufacturer trip-unit verification required</v>
      </c>
      <c r="BA22" s="73"/>
      <c r="BB22" s="72" t="str">
        <f t="shared" si="32"/>
        <v>ENTER CB Icu/Ics</v>
      </c>
      <c r="BC22" s="72" t="str">
        <f t="shared" si="33"/>
        <v>Enter manufacturer CB Icu/Ics. Required ≥ 0.00 kA</v>
      </c>
      <c r="BD22" s="72" t="str">
        <f>IF(OR(AS22="",AT22="",AV22=""),"",IF(AND(AT22&gt;=AS22,COUNTIF(Lists!$J$2:$J$28,AT22)&gt;0,AV22&gt;=AS22,AV22&lt;=AT22),"PASS","FAIL - REVIEW MCCB FRAME/TRIP UNIT"))</f>
        <v>PASS</v>
      </c>
      <c r="BE22" s="86"/>
      <c r="BF22" s="86" t="str">
        <f t="shared" si="34"/>
        <v>XLPE</v>
      </c>
      <c r="BG22" s="86" t="str">
        <f t="shared" si="35"/>
        <v>3C</v>
      </c>
      <c r="BH22" s="86" t="str">
        <f t="shared" si="36"/>
        <v>Al</v>
      </c>
      <c r="BI22" s="86" t="str">
        <f t="shared" si="37"/>
        <v>XLPE</v>
      </c>
      <c r="BJ22" s="86" t="str">
        <f t="shared" si="38"/>
        <v>Armoured</v>
      </c>
      <c r="BK22" s="86" t="str">
        <f t="shared" si="39"/>
        <v/>
      </c>
      <c r="BL22" s="86">
        <f>IFERROR(SUMIFS('Cable Data Master'!$K:$K,'Cable Data Master'!$A:$A,$BF22,'Cable Data Master'!$B:$B,$BG22,'Cable Data Master'!$C:$C,$BH22,'Cable Data Master'!$D:$D,$BI22,'Cable Data Master'!$E:$E,$BJ22,'Cable Data Master'!$F:$F,$BK22),"")</f>
        <v>0</v>
      </c>
      <c r="BM22" s="86">
        <f>IFERROR(SUMIFS('Cable Data Master'!$L:$L,'Cable Data Master'!$A:$A,$BF22,'Cable Data Master'!$B:$B,$BG22,'Cable Data Master'!$C:$C,$BH22,'Cable Data Master'!$D:$D,$BI22,'Cable Data Master'!$E:$E,$BJ22,'Cable Data Master'!$F:$F,$BK22),"")</f>
        <v>0</v>
      </c>
      <c r="BN22" s="86">
        <f>IFERROR(SUMIFS('Cable Data Master'!$G:$G,'Cable Data Master'!$A:$A,$BF22,'Cable Data Master'!$B:$B,$BG22,'Cable Data Master'!$C:$C,$BH22,'Cable Data Master'!$D:$D,$BI22,'Cable Data Master'!$E:$E,$BJ22,'Cable Data Master'!$F:$F,$BK22),"")</f>
        <v>0</v>
      </c>
      <c r="BO22" s="86">
        <f>IFERROR(SUMIFS('Cable Data Master'!$H:$H,'Cable Data Master'!$A:$A,$BF22,'Cable Data Master'!$B:$B,$BG22,'Cable Data Master'!$C:$C,$BH22,'Cable Data Master'!$D:$D,$BI22,'Cable Data Master'!$E:$E,$BJ22,'Cable Data Master'!$F:$F,$BK22),"")</f>
        <v>0</v>
      </c>
      <c r="BP22" s="86">
        <f>IFERROR(SUMIFS('Cable Data Master'!$I:$I,'Cable Data Master'!$A:$A,$BF22,'Cable Data Master'!$B:$B,$BG22,'Cable Data Master'!$C:$C,$BH22,'Cable Data Master'!$D:$D,$BI22,'Cable Data Master'!$E:$E,$BJ22,'Cable Data Master'!$F:$F,$BK22),"")</f>
        <v>0</v>
      </c>
      <c r="BQ22" s="86">
        <f>IFERROR(SUMIFS('Cable Data Master'!$J:$J,'Cable Data Master'!$A:$A,$BF22,'Cable Data Master'!$B:$B,$BG22,'Cable Data Master'!$C:$C,$BH22,'Cable Data Master'!$D:$D,$BI22,'Cable Data Master'!$E:$E,$BJ22,'Cable Data Master'!$F:$F,$BK22),"")</f>
        <v>0</v>
      </c>
      <c r="BR22" s="86"/>
    </row>
    <row r="23" spans="1:70" s="87" customFormat="1" ht="30" customHeight="1" x14ac:dyDescent="0.35">
      <c r="A23" s="72">
        <v>20</v>
      </c>
      <c r="B23" s="73"/>
      <c r="C23" s="73"/>
      <c r="D23" s="74">
        <v>4.5</v>
      </c>
      <c r="E23" s="74"/>
      <c r="F23" s="74" t="s">
        <v>132</v>
      </c>
      <c r="G23" s="72" t="str">
        <f>IF(OR(C23="",D23="",E23="",H23="",J23="",K23="",L23="",M23="",N23="",O23="",P23="",Q23="",R23="",S23=""),"",IFERROR(LOOKUP(2,1/(('AUTO ENGINE'!$A$2:$A$1201=ROW())*('AUTO ENGINE'!$M$2:$M$1201=1)),'AUTO ENGINE'!$B$2:$B$1201),"NO CABLE PASSES"))</f>
        <v/>
      </c>
      <c r="H23" s="73" t="s">
        <v>133</v>
      </c>
      <c r="I23" s="72">
        <f t="shared" si="0"/>
        <v>0</v>
      </c>
      <c r="J23" s="73">
        <v>1</v>
      </c>
      <c r="K23" s="73">
        <v>415</v>
      </c>
      <c r="L23" s="73">
        <v>0.53</v>
      </c>
      <c r="M23" s="73">
        <v>0.85</v>
      </c>
      <c r="N23" s="73">
        <v>0.95399999999999996</v>
      </c>
      <c r="O23" s="73"/>
      <c r="P23" s="73">
        <v>1.5</v>
      </c>
      <c r="Q23" s="73">
        <v>0.3</v>
      </c>
      <c r="R23" s="72">
        <f t="shared" si="1"/>
        <v>0</v>
      </c>
      <c r="S23" s="73">
        <v>0.2</v>
      </c>
      <c r="T23" s="72">
        <f t="shared" si="2"/>
        <v>0</v>
      </c>
      <c r="U23" s="72">
        <f t="shared" si="40"/>
        <v>0</v>
      </c>
      <c r="V23" s="72">
        <f t="shared" si="4"/>
        <v>0</v>
      </c>
      <c r="W23" s="72">
        <f t="shared" si="5"/>
        <v>0</v>
      </c>
      <c r="X23" s="72">
        <f t="shared" si="6"/>
        <v>0</v>
      </c>
      <c r="Y23" s="72">
        <f t="shared" si="7"/>
        <v>0</v>
      </c>
      <c r="Z23" s="72" t="str">
        <f t="shared" si="8"/>
        <v>PASS</v>
      </c>
      <c r="AA23" s="72">
        <f t="shared" si="9"/>
        <v>0</v>
      </c>
      <c r="AB23" s="72">
        <f t="shared" si="10"/>
        <v>0.95393920141694566</v>
      </c>
      <c r="AC23" s="72">
        <f t="shared" si="11"/>
        <v>0</v>
      </c>
      <c r="AD23" s="72">
        <f t="shared" si="12"/>
        <v>0</v>
      </c>
      <c r="AE23" s="72">
        <f t="shared" si="13"/>
        <v>0</v>
      </c>
      <c r="AF23" s="72" t="str">
        <f>IF(OR(AE23="",AD23=""),"",IF(AE23&lt;='OS-DORAEN'!$B$6,"PASS","FAIL"))</f>
        <v>PASS</v>
      </c>
      <c r="AG23" s="72">
        <f t="shared" si="14"/>
        <v>0.52678268764263703</v>
      </c>
      <c r="AH23" s="72">
        <f t="shared" si="15"/>
        <v>0</v>
      </c>
      <c r="AI23" s="72">
        <f t="shared" si="16"/>
        <v>0</v>
      </c>
      <c r="AJ23" s="72">
        <f t="shared" si="17"/>
        <v>0</v>
      </c>
      <c r="AK23" s="72" t="str">
        <f>IF(OR(AJ23="",AI23=""),"",IF(AJ23&lt;='OS-DORAEN'!$B$5,"PASS","FAIL"))</f>
        <v>PASS</v>
      </c>
      <c r="AL23" s="72" t="str">
        <f t="shared" si="18"/>
        <v/>
      </c>
      <c r="AM23" s="72" t="str">
        <f t="shared" si="19"/>
        <v/>
      </c>
      <c r="AN23" s="72" t="str">
        <f t="shared" si="20"/>
        <v/>
      </c>
      <c r="AO23" s="72" t="str">
        <f t="shared" si="21"/>
        <v>PASS</v>
      </c>
      <c r="AP23" s="72" t="str">
        <f t="shared" si="22"/>
        <v/>
      </c>
      <c r="AQ23" s="72" t="str">
        <f t="shared" si="23"/>
        <v/>
      </c>
      <c r="AR23" s="72" t="str">
        <f t="shared" si="41"/>
        <v/>
      </c>
      <c r="AS23" s="72">
        <f t="shared" si="25"/>
        <v>0</v>
      </c>
      <c r="AT23" s="72">
        <f>IF(AS23="","",IF(AS23&lt;=Lists!$J$2,Lists!$J$2,IFERROR(INDEX(Lists!$J$2:$J$28,IF(INDEX(Lists!$J$2:$J$28,MATCH(AS23,Lists!$J$2:$J$28,1))=AS23,MATCH(AS23,Lists!$J$2:$J$28,1),MATCH(AS23,Lists!$J$2:$J$28,1)+1)),"NO STANDARD CB")))</f>
        <v>16</v>
      </c>
      <c r="AU23" s="72" t="str">
        <f t="shared" si="26"/>
        <v>Manufacturer-specific adjustable trip unit</v>
      </c>
      <c r="AV23" s="72">
        <f t="shared" si="27"/>
        <v>0</v>
      </c>
      <c r="AW23" s="72" t="str">
        <f t="shared" si="28"/>
        <v>Verify manufacturer instantaneous/magnetic pickup</v>
      </c>
      <c r="AX23" s="72" t="str">
        <f t="shared" si="29"/>
        <v>VERIFY MANUFACTURER</v>
      </c>
      <c r="AY23" s="72" t="str">
        <f t="shared" si="30"/>
        <v>PASS</v>
      </c>
      <c r="AZ23" s="72" t="str">
        <f t="shared" si="31"/>
        <v>16 A MCCB; target Ir 0.0 A; manufacturer trip-unit verification required</v>
      </c>
      <c r="BA23" s="73"/>
      <c r="BB23" s="72" t="str">
        <f t="shared" si="32"/>
        <v>ENTER CB Icu/Ics</v>
      </c>
      <c r="BC23" s="72" t="str">
        <f t="shared" si="33"/>
        <v>Enter manufacturer CB Icu/Ics. Required ≥ 0.00 kA</v>
      </c>
      <c r="BD23" s="72" t="str">
        <f>IF(OR(AS23="",AT23="",AV23=""),"",IF(AND(AT23&gt;=AS23,COUNTIF(Lists!$J$2:$J$28,AT23)&gt;0,AV23&gt;=AS23,AV23&lt;=AT23),"PASS","FAIL - REVIEW MCCB FRAME/TRIP UNIT"))</f>
        <v>PASS</v>
      </c>
      <c r="BE23" s="86"/>
      <c r="BF23" s="86" t="str">
        <f t="shared" si="34"/>
        <v>XLPE</v>
      </c>
      <c r="BG23" s="86" t="str">
        <f t="shared" si="35"/>
        <v>3C</v>
      </c>
      <c r="BH23" s="86" t="str">
        <f t="shared" si="36"/>
        <v>Al</v>
      </c>
      <c r="BI23" s="86" t="str">
        <f t="shared" si="37"/>
        <v>XLPE</v>
      </c>
      <c r="BJ23" s="86" t="str">
        <f t="shared" si="38"/>
        <v>Armoured</v>
      </c>
      <c r="BK23" s="86" t="str">
        <f t="shared" si="39"/>
        <v/>
      </c>
      <c r="BL23" s="86">
        <f>IFERROR(SUMIFS('Cable Data Master'!$K:$K,'Cable Data Master'!$A:$A,$BF23,'Cable Data Master'!$B:$B,$BG23,'Cable Data Master'!$C:$C,$BH23,'Cable Data Master'!$D:$D,$BI23,'Cable Data Master'!$E:$E,$BJ23,'Cable Data Master'!$F:$F,$BK23),"")</f>
        <v>0</v>
      </c>
      <c r="BM23" s="86">
        <f>IFERROR(SUMIFS('Cable Data Master'!$L:$L,'Cable Data Master'!$A:$A,$BF23,'Cable Data Master'!$B:$B,$BG23,'Cable Data Master'!$C:$C,$BH23,'Cable Data Master'!$D:$D,$BI23,'Cable Data Master'!$E:$E,$BJ23,'Cable Data Master'!$F:$F,$BK23),"")</f>
        <v>0</v>
      </c>
      <c r="BN23" s="86">
        <f>IFERROR(SUMIFS('Cable Data Master'!$G:$G,'Cable Data Master'!$A:$A,$BF23,'Cable Data Master'!$B:$B,$BG23,'Cable Data Master'!$C:$C,$BH23,'Cable Data Master'!$D:$D,$BI23,'Cable Data Master'!$E:$E,$BJ23,'Cable Data Master'!$F:$F,$BK23),"")</f>
        <v>0</v>
      </c>
      <c r="BO23" s="86">
        <f>IFERROR(SUMIFS('Cable Data Master'!$H:$H,'Cable Data Master'!$A:$A,$BF23,'Cable Data Master'!$B:$B,$BG23,'Cable Data Master'!$C:$C,$BH23,'Cable Data Master'!$D:$D,$BI23,'Cable Data Master'!$E:$E,$BJ23,'Cable Data Master'!$F:$F,$BK23),"")</f>
        <v>0</v>
      </c>
      <c r="BP23" s="86">
        <f>IFERROR(SUMIFS('Cable Data Master'!$I:$I,'Cable Data Master'!$A:$A,$BF23,'Cable Data Master'!$B:$B,$BG23,'Cable Data Master'!$C:$C,$BH23,'Cable Data Master'!$D:$D,$BI23,'Cable Data Master'!$E:$E,$BJ23,'Cable Data Master'!$F:$F,$BK23),"")</f>
        <v>0</v>
      </c>
      <c r="BQ23" s="86">
        <f>IFERROR(SUMIFS('Cable Data Master'!$J:$J,'Cable Data Master'!$A:$A,$BF23,'Cable Data Master'!$B:$B,$BG23,'Cable Data Master'!$C:$C,$BH23,'Cable Data Master'!$D:$D,$BI23,'Cable Data Master'!$E:$E,$BJ23,'Cable Data Master'!$F:$F,$BK23),"")</f>
        <v>0</v>
      </c>
      <c r="BR23" s="86"/>
    </row>
    <row r="24" spans="1:70" s="87" customFormat="1" ht="30" customHeight="1" x14ac:dyDescent="0.35">
      <c r="A24" s="72">
        <v>21</v>
      </c>
      <c r="B24" s="73"/>
      <c r="C24" s="73"/>
      <c r="D24" s="74">
        <v>4.5</v>
      </c>
      <c r="E24" s="74"/>
      <c r="F24" s="74" t="s">
        <v>132</v>
      </c>
      <c r="G24" s="72" t="str">
        <f>IF(OR(C24="",D24="",E24="",H24="",J24="",K24="",L24="",M24="",N24="",O24="",P24="",Q24="",R24="",S24=""),"",IFERROR(LOOKUP(2,1/(('AUTO ENGINE'!$A$2:$A$1201=ROW())*('AUTO ENGINE'!$M$2:$M$1201=1)),'AUTO ENGINE'!$B$2:$B$1201),"NO CABLE PASSES"))</f>
        <v/>
      </c>
      <c r="H24" s="73" t="s">
        <v>133</v>
      </c>
      <c r="I24" s="72">
        <f t="shared" si="0"/>
        <v>0</v>
      </c>
      <c r="J24" s="73">
        <v>1</v>
      </c>
      <c r="K24" s="73">
        <v>415</v>
      </c>
      <c r="L24" s="73">
        <v>0.53</v>
      </c>
      <c r="M24" s="73">
        <v>0.85</v>
      </c>
      <c r="N24" s="73">
        <v>0.95399999999999996</v>
      </c>
      <c r="O24" s="73"/>
      <c r="P24" s="73">
        <v>1.5</v>
      </c>
      <c r="Q24" s="73">
        <v>0.3</v>
      </c>
      <c r="R24" s="72">
        <f t="shared" si="1"/>
        <v>0</v>
      </c>
      <c r="S24" s="73">
        <v>0.2</v>
      </c>
      <c r="T24" s="72">
        <f t="shared" si="2"/>
        <v>0</v>
      </c>
      <c r="U24" s="72">
        <f t="shared" si="40"/>
        <v>0</v>
      </c>
      <c r="V24" s="72">
        <f t="shared" si="4"/>
        <v>0</v>
      </c>
      <c r="W24" s="72">
        <f t="shared" si="5"/>
        <v>0</v>
      </c>
      <c r="X24" s="72">
        <f t="shared" si="6"/>
        <v>0</v>
      </c>
      <c r="Y24" s="72">
        <f t="shared" si="7"/>
        <v>0</v>
      </c>
      <c r="Z24" s="72" t="str">
        <f t="shared" si="8"/>
        <v>PASS</v>
      </c>
      <c r="AA24" s="72">
        <f t="shared" si="9"/>
        <v>0</v>
      </c>
      <c r="AB24" s="72">
        <f t="shared" si="10"/>
        <v>0.95393920141694566</v>
      </c>
      <c r="AC24" s="72">
        <f t="shared" si="11"/>
        <v>0</v>
      </c>
      <c r="AD24" s="72">
        <f t="shared" si="12"/>
        <v>0</v>
      </c>
      <c r="AE24" s="72">
        <f t="shared" si="13"/>
        <v>0</v>
      </c>
      <c r="AF24" s="72" t="str">
        <f>IF(OR(AE24="",AD24=""),"",IF(AE24&lt;='OS-DORAEN'!$B$6,"PASS","FAIL"))</f>
        <v>PASS</v>
      </c>
      <c r="AG24" s="72">
        <f t="shared" si="14"/>
        <v>0.52678268764263703</v>
      </c>
      <c r="AH24" s="72">
        <f t="shared" si="15"/>
        <v>0</v>
      </c>
      <c r="AI24" s="72">
        <f t="shared" si="16"/>
        <v>0</v>
      </c>
      <c r="AJ24" s="72">
        <f t="shared" si="17"/>
        <v>0</v>
      </c>
      <c r="AK24" s="72" t="str">
        <f>IF(OR(AJ24="",AI24=""),"",IF(AJ24&lt;='OS-DORAEN'!$B$5,"PASS","FAIL"))</f>
        <v>PASS</v>
      </c>
      <c r="AL24" s="72" t="str">
        <f t="shared" si="18"/>
        <v/>
      </c>
      <c r="AM24" s="72" t="str">
        <f t="shared" si="19"/>
        <v/>
      </c>
      <c r="AN24" s="72" t="str">
        <f t="shared" si="20"/>
        <v/>
      </c>
      <c r="AO24" s="72" t="str">
        <f t="shared" si="21"/>
        <v>PASS</v>
      </c>
      <c r="AP24" s="72" t="str">
        <f t="shared" si="22"/>
        <v/>
      </c>
      <c r="AQ24" s="72" t="str">
        <f t="shared" si="23"/>
        <v/>
      </c>
      <c r="AR24" s="72" t="str">
        <f t="shared" si="41"/>
        <v/>
      </c>
      <c r="AS24" s="72">
        <f t="shared" si="25"/>
        <v>0</v>
      </c>
      <c r="AT24" s="72">
        <f>IF(AS24="","",IF(AS24&lt;=Lists!$J$2,Lists!$J$2,IFERROR(INDEX(Lists!$J$2:$J$28,IF(INDEX(Lists!$J$2:$J$28,MATCH(AS24,Lists!$J$2:$J$28,1))=AS24,MATCH(AS24,Lists!$J$2:$J$28,1),MATCH(AS24,Lists!$J$2:$J$28,1)+1)),"NO STANDARD CB")))</f>
        <v>16</v>
      </c>
      <c r="AU24" s="72" t="str">
        <f t="shared" si="26"/>
        <v>Manufacturer-specific adjustable trip unit</v>
      </c>
      <c r="AV24" s="72">
        <f t="shared" si="27"/>
        <v>0</v>
      </c>
      <c r="AW24" s="72" t="str">
        <f t="shared" si="28"/>
        <v>Verify manufacturer instantaneous/magnetic pickup</v>
      </c>
      <c r="AX24" s="72" t="str">
        <f t="shared" si="29"/>
        <v>VERIFY MANUFACTURER</v>
      </c>
      <c r="AY24" s="72" t="str">
        <f t="shared" si="30"/>
        <v>PASS</v>
      </c>
      <c r="AZ24" s="72" t="str">
        <f t="shared" si="31"/>
        <v>16 A MCCB; target Ir 0.0 A; manufacturer trip-unit verification required</v>
      </c>
      <c r="BA24" s="73"/>
      <c r="BB24" s="72" t="str">
        <f t="shared" si="32"/>
        <v>ENTER CB Icu/Ics</v>
      </c>
      <c r="BC24" s="72" t="str">
        <f t="shared" si="33"/>
        <v>Enter manufacturer CB Icu/Ics. Required ≥ 0.00 kA</v>
      </c>
      <c r="BD24" s="72" t="str">
        <f>IF(OR(AS24="",AT24="",AV24=""),"",IF(AND(AT24&gt;=AS24,COUNTIF(Lists!$J$2:$J$28,AT24)&gt;0,AV24&gt;=AS24,AV24&lt;=AT24),"PASS","FAIL - REVIEW MCCB FRAME/TRIP UNIT"))</f>
        <v>PASS</v>
      </c>
      <c r="BE24" s="86"/>
      <c r="BF24" s="86" t="str">
        <f t="shared" si="34"/>
        <v>XLPE</v>
      </c>
      <c r="BG24" s="86" t="str">
        <f t="shared" si="35"/>
        <v>3C</v>
      </c>
      <c r="BH24" s="86" t="str">
        <f t="shared" si="36"/>
        <v>Al</v>
      </c>
      <c r="BI24" s="86" t="str">
        <f t="shared" si="37"/>
        <v>XLPE</v>
      </c>
      <c r="BJ24" s="86" t="str">
        <f t="shared" si="38"/>
        <v>Armoured</v>
      </c>
      <c r="BK24" s="86" t="str">
        <f t="shared" si="39"/>
        <v/>
      </c>
      <c r="BL24" s="86">
        <f>IFERROR(SUMIFS('Cable Data Master'!$K:$K,'Cable Data Master'!$A:$A,$BF24,'Cable Data Master'!$B:$B,$BG24,'Cable Data Master'!$C:$C,$BH24,'Cable Data Master'!$D:$D,$BI24,'Cable Data Master'!$E:$E,$BJ24,'Cable Data Master'!$F:$F,$BK24),"")</f>
        <v>0</v>
      </c>
      <c r="BM24" s="86">
        <f>IFERROR(SUMIFS('Cable Data Master'!$L:$L,'Cable Data Master'!$A:$A,$BF24,'Cable Data Master'!$B:$B,$BG24,'Cable Data Master'!$C:$C,$BH24,'Cable Data Master'!$D:$D,$BI24,'Cable Data Master'!$E:$E,$BJ24,'Cable Data Master'!$F:$F,$BK24),"")</f>
        <v>0</v>
      </c>
      <c r="BN24" s="86">
        <f>IFERROR(SUMIFS('Cable Data Master'!$G:$G,'Cable Data Master'!$A:$A,$BF24,'Cable Data Master'!$B:$B,$BG24,'Cable Data Master'!$C:$C,$BH24,'Cable Data Master'!$D:$D,$BI24,'Cable Data Master'!$E:$E,$BJ24,'Cable Data Master'!$F:$F,$BK24),"")</f>
        <v>0</v>
      </c>
      <c r="BO24" s="86">
        <f>IFERROR(SUMIFS('Cable Data Master'!$H:$H,'Cable Data Master'!$A:$A,$BF24,'Cable Data Master'!$B:$B,$BG24,'Cable Data Master'!$C:$C,$BH24,'Cable Data Master'!$D:$D,$BI24,'Cable Data Master'!$E:$E,$BJ24,'Cable Data Master'!$F:$F,$BK24),"")</f>
        <v>0</v>
      </c>
      <c r="BP24" s="86">
        <f>IFERROR(SUMIFS('Cable Data Master'!$I:$I,'Cable Data Master'!$A:$A,$BF24,'Cable Data Master'!$B:$B,$BG24,'Cable Data Master'!$C:$C,$BH24,'Cable Data Master'!$D:$D,$BI24,'Cable Data Master'!$E:$E,$BJ24,'Cable Data Master'!$F:$F,$BK24),"")</f>
        <v>0</v>
      </c>
      <c r="BQ24" s="86">
        <f>IFERROR(SUMIFS('Cable Data Master'!$J:$J,'Cable Data Master'!$A:$A,$BF24,'Cable Data Master'!$B:$B,$BG24,'Cable Data Master'!$C:$C,$BH24,'Cable Data Master'!$D:$D,$BI24,'Cable Data Master'!$E:$E,$BJ24,'Cable Data Master'!$F:$F,$BK24),"")</f>
        <v>0</v>
      </c>
      <c r="BR24" s="86"/>
    </row>
    <row r="25" spans="1:70" s="87" customFormat="1" ht="30" customHeight="1" x14ac:dyDescent="0.35">
      <c r="A25" s="72">
        <v>22</v>
      </c>
      <c r="B25" s="73"/>
      <c r="C25" s="73"/>
      <c r="D25" s="74">
        <v>4.5</v>
      </c>
      <c r="E25" s="74"/>
      <c r="F25" s="74" t="s">
        <v>132</v>
      </c>
      <c r="G25" s="72" t="str">
        <f>IF(OR(C25="",D25="",E25="",H25="",J25="",K25="",L25="",M25="",N25="",O25="",P25="",Q25="",R25="",S25=""),"",IFERROR(LOOKUP(2,1/(('AUTO ENGINE'!$A$2:$A$1201=ROW())*('AUTO ENGINE'!$M$2:$M$1201=1)),'AUTO ENGINE'!$B$2:$B$1201),"NO CABLE PASSES"))</f>
        <v/>
      </c>
      <c r="H25" s="73" t="s">
        <v>133</v>
      </c>
      <c r="I25" s="72">
        <f t="shared" si="0"/>
        <v>0</v>
      </c>
      <c r="J25" s="73">
        <v>1</v>
      </c>
      <c r="K25" s="73">
        <v>415</v>
      </c>
      <c r="L25" s="73">
        <v>0.53</v>
      </c>
      <c r="M25" s="73">
        <v>0.85</v>
      </c>
      <c r="N25" s="73">
        <v>0.95399999999999996</v>
      </c>
      <c r="O25" s="73"/>
      <c r="P25" s="73">
        <v>1.5</v>
      </c>
      <c r="Q25" s="73">
        <v>0.3</v>
      </c>
      <c r="R25" s="72">
        <f t="shared" si="1"/>
        <v>0</v>
      </c>
      <c r="S25" s="73">
        <v>0.2</v>
      </c>
      <c r="T25" s="72">
        <f t="shared" si="2"/>
        <v>0</v>
      </c>
      <c r="U25" s="72">
        <f t="shared" si="40"/>
        <v>0</v>
      </c>
      <c r="V25" s="72">
        <f t="shared" si="4"/>
        <v>0</v>
      </c>
      <c r="W25" s="72">
        <f t="shared" si="5"/>
        <v>0</v>
      </c>
      <c r="X25" s="72">
        <f t="shared" si="6"/>
        <v>0</v>
      </c>
      <c r="Y25" s="72">
        <f t="shared" si="7"/>
        <v>0</v>
      </c>
      <c r="Z25" s="72" t="str">
        <f t="shared" si="8"/>
        <v>PASS</v>
      </c>
      <c r="AA25" s="72">
        <f t="shared" si="9"/>
        <v>0</v>
      </c>
      <c r="AB25" s="72">
        <f t="shared" si="10"/>
        <v>0.95393920141694566</v>
      </c>
      <c r="AC25" s="72">
        <f t="shared" si="11"/>
        <v>0</v>
      </c>
      <c r="AD25" s="72">
        <f t="shared" si="12"/>
        <v>0</v>
      </c>
      <c r="AE25" s="72">
        <f t="shared" si="13"/>
        <v>0</v>
      </c>
      <c r="AF25" s="72" t="str">
        <f>IF(OR(AE25="",AD25=""),"",IF(AE25&lt;='OS-DORAEN'!$B$6,"PASS","FAIL"))</f>
        <v>PASS</v>
      </c>
      <c r="AG25" s="72">
        <f t="shared" si="14"/>
        <v>0.52678268764263703</v>
      </c>
      <c r="AH25" s="72">
        <f t="shared" si="15"/>
        <v>0</v>
      </c>
      <c r="AI25" s="72">
        <f t="shared" si="16"/>
        <v>0</v>
      </c>
      <c r="AJ25" s="72">
        <f t="shared" si="17"/>
        <v>0</v>
      </c>
      <c r="AK25" s="72" t="str">
        <f>IF(OR(AJ25="",AI25=""),"",IF(AJ25&lt;='OS-DORAEN'!$B$5,"PASS","FAIL"))</f>
        <v>PASS</v>
      </c>
      <c r="AL25" s="72" t="str">
        <f t="shared" si="18"/>
        <v/>
      </c>
      <c r="AM25" s="72" t="str">
        <f t="shared" si="19"/>
        <v/>
      </c>
      <c r="AN25" s="72" t="str">
        <f t="shared" si="20"/>
        <v/>
      </c>
      <c r="AO25" s="72" t="str">
        <f t="shared" si="21"/>
        <v>PASS</v>
      </c>
      <c r="AP25" s="72" t="str">
        <f t="shared" si="22"/>
        <v/>
      </c>
      <c r="AQ25" s="72" t="str">
        <f t="shared" si="23"/>
        <v/>
      </c>
      <c r="AR25" s="72" t="str">
        <f t="shared" si="41"/>
        <v/>
      </c>
      <c r="AS25" s="72">
        <f t="shared" si="25"/>
        <v>0</v>
      </c>
      <c r="AT25" s="72">
        <f>IF(AS25="","",IF(AS25&lt;=Lists!$J$2,Lists!$J$2,IFERROR(INDEX(Lists!$J$2:$J$28,IF(INDEX(Lists!$J$2:$J$28,MATCH(AS25,Lists!$J$2:$J$28,1))=AS25,MATCH(AS25,Lists!$J$2:$J$28,1),MATCH(AS25,Lists!$J$2:$J$28,1)+1)),"NO STANDARD CB")))</f>
        <v>16</v>
      </c>
      <c r="AU25" s="72" t="str">
        <f t="shared" si="26"/>
        <v>Manufacturer-specific adjustable trip unit</v>
      </c>
      <c r="AV25" s="72">
        <f t="shared" si="27"/>
        <v>0</v>
      </c>
      <c r="AW25" s="72" t="str">
        <f t="shared" si="28"/>
        <v>Verify manufacturer instantaneous/magnetic pickup</v>
      </c>
      <c r="AX25" s="72" t="str">
        <f t="shared" si="29"/>
        <v>VERIFY MANUFACTURER</v>
      </c>
      <c r="AY25" s="72" t="str">
        <f t="shared" si="30"/>
        <v>PASS</v>
      </c>
      <c r="AZ25" s="72" t="str">
        <f t="shared" si="31"/>
        <v>16 A MCCB; target Ir 0.0 A; manufacturer trip-unit verification required</v>
      </c>
      <c r="BA25" s="73"/>
      <c r="BB25" s="72" t="str">
        <f t="shared" si="32"/>
        <v>ENTER CB Icu/Ics</v>
      </c>
      <c r="BC25" s="72" t="str">
        <f t="shared" si="33"/>
        <v>Enter manufacturer CB Icu/Ics. Required ≥ 0.00 kA</v>
      </c>
      <c r="BD25" s="72" t="str">
        <f>IF(OR(AS25="",AT25="",AV25=""),"",IF(AND(AT25&gt;=AS25,COUNTIF(Lists!$J$2:$J$28,AT25)&gt;0,AV25&gt;=AS25,AV25&lt;=AT25),"PASS","FAIL - REVIEW MCCB FRAME/TRIP UNIT"))</f>
        <v>PASS</v>
      </c>
      <c r="BE25" s="86"/>
      <c r="BF25" s="86" t="str">
        <f t="shared" si="34"/>
        <v>XLPE</v>
      </c>
      <c r="BG25" s="86" t="str">
        <f t="shared" si="35"/>
        <v>3C</v>
      </c>
      <c r="BH25" s="86" t="str">
        <f t="shared" si="36"/>
        <v>Al</v>
      </c>
      <c r="BI25" s="86" t="str">
        <f t="shared" si="37"/>
        <v>XLPE</v>
      </c>
      <c r="BJ25" s="86" t="str">
        <f t="shared" si="38"/>
        <v>Armoured</v>
      </c>
      <c r="BK25" s="86" t="str">
        <f t="shared" si="39"/>
        <v/>
      </c>
      <c r="BL25" s="86">
        <f>IFERROR(SUMIFS('Cable Data Master'!$K:$K,'Cable Data Master'!$A:$A,$BF25,'Cable Data Master'!$B:$B,$BG25,'Cable Data Master'!$C:$C,$BH25,'Cable Data Master'!$D:$D,$BI25,'Cable Data Master'!$E:$E,$BJ25,'Cable Data Master'!$F:$F,$BK25),"")</f>
        <v>0</v>
      </c>
      <c r="BM25" s="86">
        <f>IFERROR(SUMIFS('Cable Data Master'!$L:$L,'Cable Data Master'!$A:$A,$BF25,'Cable Data Master'!$B:$B,$BG25,'Cable Data Master'!$C:$C,$BH25,'Cable Data Master'!$D:$D,$BI25,'Cable Data Master'!$E:$E,$BJ25,'Cable Data Master'!$F:$F,$BK25),"")</f>
        <v>0</v>
      </c>
      <c r="BN25" s="86">
        <f>IFERROR(SUMIFS('Cable Data Master'!$G:$G,'Cable Data Master'!$A:$A,$BF25,'Cable Data Master'!$B:$B,$BG25,'Cable Data Master'!$C:$C,$BH25,'Cable Data Master'!$D:$D,$BI25,'Cable Data Master'!$E:$E,$BJ25,'Cable Data Master'!$F:$F,$BK25),"")</f>
        <v>0</v>
      </c>
      <c r="BO25" s="86">
        <f>IFERROR(SUMIFS('Cable Data Master'!$H:$H,'Cable Data Master'!$A:$A,$BF25,'Cable Data Master'!$B:$B,$BG25,'Cable Data Master'!$C:$C,$BH25,'Cable Data Master'!$D:$D,$BI25,'Cable Data Master'!$E:$E,$BJ25,'Cable Data Master'!$F:$F,$BK25),"")</f>
        <v>0</v>
      </c>
      <c r="BP25" s="86">
        <f>IFERROR(SUMIFS('Cable Data Master'!$I:$I,'Cable Data Master'!$A:$A,$BF25,'Cable Data Master'!$B:$B,$BG25,'Cable Data Master'!$C:$C,$BH25,'Cable Data Master'!$D:$D,$BI25,'Cable Data Master'!$E:$E,$BJ25,'Cable Data Master'!$F:$F,$BK25),"")</f>
        <v>0</v>
      </c>
      <c r="BQ25" s="86">
        <f>IFERROR(SUMIFS('Cable Data Master'!$J:$J,'Cable Data Master'!$A:$A,$BF25,'Cable Data Master'!$B:$B,$BG25,'Cable Data Master'!$C:$C,$BH25,'Cable Data Master'!$D:$D,$BI25,'Cable Data Master'!$E:$E,$BJ25,'Cable Data Master'!$F:$F,$BK25),"")</f>
        <v>0</v>
      </c>
      <c r="BR25" s="86"/>
    </row>
    <row r="26" spans="1:70" s="87" customFormat="1" ht="30" customHeight="1" x14ac:dyDescent="0.35">
      <c r="A26" s="72">
        <v>23</v>
      </c>
      <c r="B26" s="73"/>
      <c r="C26" s="73"/>
      <c r="D26" s="74">
        <v>4.5</v>
      </c>
      <c r="E26" s="74"/>
      <c r="F26" s="74" t="s">
        <v>132</v>
      </c>
      <c r="G26" s="72" t="str">
        <f>IF(OR(C26="",D26="",E26="",H26="",J26="",K26="",L26="",M26="",N26="",O26="",P26="",Q26="",R26="",S26=""),"",IFERROR(LOOKUP(2,1/(('AUTO ENGINE'!$A$2:$A$1201=ROW())*('AUTO ENGINE'!$M$2:$M$1201=1)),'AUTO ENGINE'!$B$2:$B$1201),"NO CABLE PASSES"))</f>
        <v/>
      </c>
      <c r="H26" s="73" t="s">
        <v>133</v>
      </c>
      <c r="I26" s="72">
        <f t="shared" si="0"/>
        <v>0</v>
      </c>
      <c r="J26" s="73">
        <v>1</v>
      </c>
      <c r="K26" s="73">
        <v>415</v>
      </c>
      <c r="L26" s="73">
        <v>0.53</v>
      </c>
      <c r="M26" s="73">
        <v>0.85</v>
      </c>
      <c r="N26" s="73">
        <v>0.95399999999999996</v>
      </c>
      <c r="O26" s="73"/>
      <c r="P26" s="73">
        <v>1.5</v>
      </c>
      <c r="Q26" s="73">
        <v>0.3</v>
      </c>
      <c r="R26" s="72">
        <f t="shared" si="1"/>
        <v>0</v>
      </c>
      <c r="S26" s="73">
        <v>0.2</v>
      </c>
      <c r="T26" s="72">
        <f t="shared" si="2"/>
        <v>0</v>
      </c>
      <c r="U26" s="72">
        <f t="shared" si="40"/>
        <v>0</v>
      </c>
      <c r="V26" s="72">
        <f t="shared" si="4"/>
        <v>0</v>
      </c>
      <c r="W26" s="72">
        <f t="shared" si="5"/>
        <v>0</v>
      </c>
      <c r="X26" s="72">
        <f t="shared" si="6"/>
        <v>0</v>
      </c>
      <c r="Y26" s="72">
        <f t="shared" si="7"/>
        <v>0</v>
      </c>
      <c r="Z26" s="72" t="str">
        <f t="shared" si="8"/>
        <v>PASS</v>
      </c>
      <c r="AA26" s="72">
        <f t="shared" si="9"/>
        <v>0</v>
      </c>
      <c r="AB26" s="72">
        <f t="shared" si="10"/>
        <v>0.95393920141694566</v>
      </c>
      <c r="AC26" s="72">
        <f t="shared" si="11"/>
        <v>0</v>
      </c>
      <c r="AD26" s="72">
        <f t="shared" si="12"/>
        <v>0</v>
      </c>
      <c r="AE26" s="72">
        <f t="shared" si="13"/>
        <v>0</v>
      </c>
      <c r="AF26" s="72" t="str">
        <f>IF(OR(AE26="",AD26=""),"",IF(AE26&lt;='OS-DORAEN'!$B$6,"PASS","FAIL"))</f>
        <v>PASS</v>
      </c>
      <c r="AG26" s="72">
        <f t="shared" si="14"/>
        <v>0.52678268764263703</v>
      </c>
      <c r="AH26" s="72">
        <f t="shared" si="15"/>
        <v>0</v>
      </c>
      <c r="AI26" s="72">
        <f t="shared" si="16"/>
        <v>0</v>
      </c>
      <c r="AJ26" s="72">
        <f t="shared" si="17"/>
        <v>0</v>
      </c>
      <c r="AK26" s="72" t="str">
        <f>IF(OR(AJ26="",AI26=""),"",IF(AJ26&lt;='OS-DORAEN'!$B$5,"PASS","FAIL"))</f>
        <v>PASS</v>
      </c>
      <c r="AL26" s="72" t="str">
        <f t="shared" si="18"/>
        <v/>
      </c>
      <c r="AM26" s="72" t="str">
        <f t="shared" si="19"/>
        <v/>
      </c>
      <c r="AN26" s="72" t="str">
        <f t="shared" si="20"/>
        <v/>
      </c>
      <c r="AO26" s="72" t="str">
        <f t="shared" si="21"/>
        <v>PASS</v>
      </c>
      <c r="AP26" s="72" t="str">
        <f t="shared" si="22"/>
        <v/>
      </c>
      <c r="AQ26" s="72" t="str">
        <f t="shared" si="23"/>
        <v/>
      </c>
      <c r="AR26" s="72" t="str">
        <f t="shared" si="41"/>
        <v/>
      </c>
      <c r="AS26" s="72">
        <f t="shared" si="25"/>
        <v>0</v>
      </c>
      <c r="AT26" s="72">
        <f>IF(AS26="","",IF(AS26&lt;=Lists!$J$2,Lists!$J$2,IFERROR(INDEX(Lists!$J$2:$J$28,IF(INDEX(Lists!$J$2:$J$28,MATCH(AS26,Lists!$J$2:$J$28,1))=AS26,MATCH(AS26,Lists!$J$2:$J$28,1),MATCH(AS26,Lists!$J$2:$J$28,1)+1)),"NO STANDARD CB")))</f>
        <v>16</v>
      </c>
      <c r="AU26" s="72" t="str">
        <f t="shared" si="26"/>
        <v>Manufacturer-specific adjustable trip unit</v>
      </c>
      <c r="AV26" s="72">
        <f t="shared" si="27"/>
        <v>0</v>
      </c>
      <c r="AW26" s="72" t="str">
        <f t="shared" si="28"/>
        <v>Verify manufacturer instantaneous/magnetic pickup</v>
      </c>
      <c r="AX26" s="72" t="str">
        <f t="shared" si="29"/>
        <v>VERIFY MANUFACTURER</v>
      </c>
      <c r="AY26" s="72" t="str">
        <f t="shared" si="30"/>
        <v>PASS</v>
      </c>
      <c r="AZ26" s="72" t="str">
        <f t="shared" si="31"/>
        <v>16 A MCCB; target Ir 0.0 A; manufacturer trip-unit verification required</v>
      </c>
      <c r="BA26" s="73"/>
      <c r="BB26" s="72" t="str">
        <f t="shared" si="32"/>
        <v>ENTER CB Icu/Ics</v>
      </c>
      <c r="BC26" s="72" t="str">
        <f t="shared" si="33"/>
        <v>Enter manufacturer CB Icu/Ics. Required ≥ 0.00 kA</v>
      </c>
      <c r="BD26" s="72" t="str">
        <f>IF(OR(AS26="",AT26="",AV26=""),"",IF(AND(AT26&gt;=AS26,COUNTIF(Lists!$J$2:$J$28,AT26)&gt;0,AV26&gt;=AS26,AV26&lt;=AT26),"PASS","FAIL - REVIEW MCCB FRAME/TRIP UNIT"))</f>
        <v>PASS</v>
      </c>
      <c r="BE26" s="86"/>
      <c r="BF26" s="86" t="str">
        <f t="shared" si="34"/>
        <v>XLPE</v>
      </c>
      <c r="BG26" s="86" t="str">
        <f t="shared" si="35"/>
        <v>3C</v>
      </c>
      <c r="BH26" s="86" t="str">
        <f t="shared" si="36"/>
        <v>Al</v>
      </c>
      <c r="BI26" s="86" t="str">
        <f t="shared" si="37"/>
        <v>XLPE</v>
      </c>
      <c r="BJ26" s="86" t="str">
        <f t="shared" si="38"/>
        <v>Armoured</v>
      </c>
      <c r="BK26" s="86" t="str">
        <f t="shared" si="39"/>
        <v/>
      </c>
      <c r="BL26" s="86">
        <f>IFERROR(SUMIFS('Cable Data Master'!$K:$K,'Cable Data Master'!$A:$A,$BF26,'Cable Data Master'!$B:$B,$BG26,'Cable Data Master'!$C:$C,$BH26,'Cable Data Master'!$D:$D,$BI26,'Cable Data Master'!$E:$E,$BJ26,'Cable Data Master'!$F:$F,$BK26),"")</f>
        <v>0</v>
      </c>
      <c r="BM26" s="86">
        <f>IFERROR(SUMIFS('Cable Data Master'!$L:$L,'Cable Data Master'!$A:$A,$BF26,'Cable Data Master'!$B:$B,$BG26,'Cable Data Master'!$C:$C,$BH26,'Cable Data Master'!$D:$D,$BI26,'Cable Data Master'!$E:$E,$BJ26,'Cable Data Master'!$F:$F,$BK26),"")</f>
        <v>0</v>
      </c>
      <c r="BN26" s="86">
        <f>IFERROR(SUMIFS('Cable Data Master'!$G:$G,'Cable Data Master'!$A:$A,$BF26,'Cable Data Master'!$B:$B,$BG26,'Cable Data Master'!$C:$C,$BH26,'Cable Data Master'!$D:$D,$BI26,'Cable Data Master'!$E:$E,$BJ26,'Cable Data Master'!$F:$F,$BK26),"")</f>
        <v>0</v>
      </c>
      <c r="BO26" s="86">
        <f>IFERROR(SUMIFS('Cable Data Master'!$H:$H,'Cable Data Master'!$A:$A,$BF26,'Cable Data Master'!$B:$B,$BG26,'Cable Data Master'!$C:$C,$BH26,'Cable Data Master'!$D:$D,$BI26,'Cable Data Master'!$E:$E,$BJ26,'Cable Data Master'!$F:$F,$BK26),"")</f>
        <v>0</v>
      </c>
      <c r="BP26" s="86">
        <f>IFERROR(SUMIFS('Cable Data Master'!$I:$I,'Cable Data Master'!$A:$A,$BF26,'Cable Data Master'!$B:$B,$BG26,'Cable Data Master'!$C:$C,$BH26,'Cable Data Master'!$D:$D,$BI26,'Cable Data Master'!$E:$E,$BJ26,'Cable Data Master'!$F:$F,$BK26),"")</f>
        <v>0</v>
      </c>
      <c r="BQ26" s="86">
        <f>IFERROR(SUMIFS('Cable Data Master'!$J:$J,'Cable Data Master'!$A:$A,$BF26,'Cable Data Master'!$B:$B,$BG26,'Cable Data Master'!$C:$C,$BH26,'Cable Data Master'!$D:$D,$BI26,'Cable Data Master'!$E:$E,$BJ26,'Cable Data Master'!$F:$F,$BK26),"")</f>
        <v>0</v>
      </c>
      <c r="BR26" s="86"/>
    </row>
    <row r="27" spans="1:70" s="87" customFormat="1" ht="30" customHeight="1" x14ac:dyDescent="0.35">
      <c r="A27" s="72">
        <v>24</v>
      </c>
      <c r="B27" s="73"/>
      <c r="C27" s="73"/>
      <c r="D27" s="74">
        <v>4.5</v>
      </c>
      <c r="E27" s="74"/>
      <c r="F27" s="74" t="s">
        <v>132</v>
      </c>
      <c r="G27" s="72" t="str">
        <f>IF(OR(C27="",D27="",E27="",H27="",J27="",K27="",L27="",M27="",N27="",O27="",P27="",Q27="",R27="",S27=""),"",IFERROR(LOOKUP(2,1/(('AUTO ENGINE'!$A$2:$A$1201=ROW())*('AUTO ENGINE'!$M$2:$M$1201=1)),'AUTO ENGINE'!$B$2:$B$1201),"NO CABLE PASSES"))</f>
        <v/>
      </c>
      <c r="H27" s="73" t="s">
        <v>133</v>
      </c>
      <c r="I27" s="72">
        <f t="shared" si="0"/>
        <v>0</v>
      </c>
      <c r="J27" s="73">
        <v>1</v>
      </c>
      <c r="K27" s="73">
        <v>415</v>
      </c>
      <c r="L27" s="73">
        <v>0.53</v>
      </c>
      <c r="M27" s="73">
        <v>0.85</v>
      </c>
      <c r="N27" s="73">
        <v>0.95399999999999996</v>
      </c>
      <c r="O27" s="73"/>
      <c r="P27" s="73">
        <v>1.5</v>
      </c>
      <c r="Q27" s="73">
        <v>0.3</v>
      </c>
      <c r="R27" s="72">
        <f t="shared" si="1"/>
        <v>0</v>
      </c>
      <c r="S27" s="73">
        <v>0.2</v>
      </c>
      <c r="T27" s="72">
        <f t="shared" si="2"/>
        <v>0</v>
      </c>
      <c r="U27" s="72">
        <f t="shared" si="40"/>
        <v>0</v>
      </c>
      <c r="V27" s="72">
        <f t="shared" si="4"/>
        <v>0</v>
      </c>
      <c r="W27" s="72">
        <f t="shared" si="5"/>
        <v>0</v>
      </c>
      <c r="X27" s="72">
        <f t="shared" si="6"/>
        <v>0</v>
      </c>
      <c r="Y27" s="72">
        <f t="shared" si="7"/>
        <v>0</v>
      </c>
      <c r="Z27" s="72" t="str">
        <f t="shared" si="8"/>
        <v>PASS</v>
      </c>
      <c r="AA27" s="72">
        <f t="shared" si="9"/>
        <v>0</v>
      </c>
      <c r="AB27" s="72">
        <f t="shared" si="10"/>
        <v>0.95393920141694566</v>
      </c>
      <c r="AC27" s="72">
        <f t="shared" si="11"/>
        <v>0</v>
      </c>
      <c r="AD27" s="72">
        <f t="shared" si="12"/>
        <v>0</v>
      </c>
      <c r="AE27" s="72">
        <f t="shared" si="13"/>
        <v>0</v>
      </c>
      <c r="AF27" s="72" t="str">
        <f>IF(OR(AE27="",AD27=""),"",IF(AE27&lt;='OS-DORAEN'!$B$6,"PASS","FAIL"))</f>
        <v>PASS</v>
      </c>
      <c r="AG27" s="72">
        <f t="shared" si="14"/>
        <v>0.52678268764263703</v>
      </c>
      <c r="AH27" s="72">
        <f t="shared" si="15"/>
        <v>0</v>
      </c>
      <c r="AI27" s="72">
        <f t="shared" si="16"/>
        <v>0</v>
      </c>
      <c r="AJ27" s="72">
        <f t="shared" si="17"/>
        <v>0</v>
      </c>
      <c r="AK27" s="72" t="str">
        <f>IF(OR(AJ27="",AI27=""),"",IF(AJ27&lt;='OS-DORAEN'!$B$5,"PASS","FAIL"))</f>
        <v>PASS</v>
      </c>
      <c r="AL27" s="72" t="str">
        <f t="shared" si="18"/>
        <v/>
      </c>
      <c r="AM27" s="72" t="str">
        <f t="shared" si="19"/>
        <v/>
      </c>
      <c r="AN27" s="72" t="str">
        <f t="shared" si="20"/>
        <v/>
      </c>
      <c r="AO27" s="72" t="str">
        <f t="shared" si="21"/>
        <v>PASS</v>
      </c>
      <c r="AP27" s="72" t="str">
        <f t="shared" si="22"/>
        <v/>
      </c>
      <c r="AQ27" s="72" t="str">
        <f t="shared" si="23"/>
        <v/>
      </c>
      <c r="AR27" s="72" t="str">
        <f t="shared" si="41"/>
        <v/>
      </c>
      <c r="AS27" s="72">
        <f t="shared" si="25"/>
        <v>0</v>
      </c>
      <c r="AT27" s="72">
        <f>IF(AS27="","",IF(AS27&lt;=Lists!$J$2,Lists!$J$2,IFERROR(INDEX(Lists!$J$2:$J$28,IF(INDEX(Lists!$J$2:$J$28,MATCH(AS27,Lists!$J$2:$J$28,1))=AS27,MATCH(AS27,Lists!$J$2:$J$28,1),MATCH(AS27,Lists!$J$2:$J$28,1)+1)),"NO STANDARD CB")))</f>
        <v>16</v>
      </c>
      <c r="AU27" s="72" t="str">
        <f t="shared" si="26"/>
        <v>Manufacturer-specific adjustable trip unit</v>
      </c>
      <c r="AV27" s="72">
        <f t="shared" si="27"/>
        <v>0</v>
      </c>
      <c r="AW27" s="72" t="str">
        <f t="shared" si="28"/>
        <v>Verify manufacturer instantaneous/magnetic pickup</v>
      </c>
      <c r="AX27" s="72" t="str">
        <f t="shared" si="29"/>
        <v>VERIFY MANUFACTURER</v>
      </c>
      <c r="AY27" s="72" t="str">
        <f t="shared" si="30"/>
        <v>PASS</v>
      </c>
      <c r="AZ27" s="72" t="str">
        <f t="shared" si="31"/>
        <v>16 A MCCB; target Ir 0.0 A; manufacturer trip-unit verification required</v>
      </c>
      <c r="BA27" s="73"/>
      <c r="BB27" s="72" t="str">
        <f t="shared" si="32"/>
        <v>ENTER CB Icu/Ics</v>
      </c>
      <c r="BC27" s="72" t="str">
        <f t="shared" si="33"/>
        <v>Enter manufacturer CB Icu/Ics. Required ≥ 0.00 kA</v>
      </c>
      <c r="BD27" s="72" t="str">
        <f>IF(OR(AS27="",AT27="",AV27=""),"",IF(AND(AT27&gt;=AS27,COUNTIF(Lists!$J$2:$J$28,AT27)&gt;0,AV27&gt;=AS27,AV27&lt;=AT27),"PASS","FAIL - REVIEW MCCB FRAME/TRIP UNIT"))</f>
        <v>PASS</v>
      </c>
      <c r="BE27" s="86"/>
      <c r="BF27" s="86" t="str">
        <f t="shared" si="34"/>
        <v>XLPE</v>
      </c>
      <c r="BG27" s="86" t="str">
        <f t="shared" si="35"/>
        <v>3C</v>
      </c>
      <c r="BH27" s="86" t="str">
        <f t="shared" si="36"/>
        <v>Al</v>
      </c>
      <c r="BI27" s="86" t="str">
        <f t="shared" si="37"/>
        <v>XLPE</v>
      </c>
      <c r="BJ27" s="86" t="str">
        <f t="shared" si="38"/>
        <v>Armoured</v>
      </c>
      <c r="BK27" s="86" t="str">
        <f t="shared" si="39"/>
        <v/>
      </c>
      <c r="BL27" s="86">
        <f>IFERROR(SUMIFS('Cable Data Master'!$K:$K,'Cable Data Master'!$A:$A,$BF27,'Cable Data Master'!$B:$B,$BG27,'Cable Data Master'!$C:$C,$BH27,'Cable Data Master'!$D:$D,$BI27,'Cable Data Master'!$E:$E,$BJ27,'Cable Data Master'!$F:$F,$BK27),"")</f>
        <v>0</v>
      </c>
      <c r="BM27" s="86">
        <f>IFERROR(SUMIFS('Cable Data Master'!$L:$L,'Cable Data Master'!$A:$A,$BF27,'Cable Data Master'!$B:$B,$BG27,'Cable Data Master'!$C:$C,$BH27,'Cable Data Master'!$D:$D,$BI27,'Cable Data Master'!$E:$E,$BJ27,'Cable Data Master'!$F:$F,$BK27),"")</f>
        <v>0</v>
      </c>
      <c r="BN27" s="86">
        <f>IFERROR(SUMIFS('Cable Data Master'!$G:$G,'Cable Data Master'!$A:$A,$BF27,'Cable Data Master'!$B:$B,$BG27,'Cable Data Master'!$C:$C,$BH27,'Cable Data Master'!$D:$D,$BI27,'Cable Data Master'!$E:$E,$BJ27,'Cable Data Master'!$F:$F,$BK27),"")</f>
        <v>0</v>
      </c>
      <c r="BO27" s="86">
        <f>IFERROR(SUMIFS('Cable Data Master'!$H:$H,'Cable Data Master'!$A:$A,$BF27,'Cable Data Master'!$B:$B,$BG27,'Cable Data Master'!$C:$C,$BH27,'Cable Data Master'!$D:$D,$BI27,'Cable Data Master'!$E:$E,$BJ27,'Cable Data Master'!$F:$F,$BK27),"")</f>
        <v>0</v>
      </c>
      <c r="BP27" s="86">
        <f>IFERROR(SUMIFS('Cable Data Master'!$I:$I,'Cable Data Master'!$A:$A,$BF27,'Cable Data Master'!$B:$B,$BG27,'Cable Data Master'!$C:$C,$BH27,'Cable Data Master'!$D:$D,$BI27,'Cable Data Master'!$E:$E,$BJ27,'Cable Data Master'!$F:$F,$BK27),"")</f>
        <v>0</v>
      </c>
      <c r="BQ27" s="86">
        <f>IFERROR(SUMIFS('Cable Data Master'!$J:$J,'Cable Data Master'!$A:$A,$BF27,'Cable Data Master'!$B:$B,$BG27,'Cable Data Master'!$C:$C,$BH27,'Cable Data Master'!$D:$D,$BI27,'Cable Data Master'!$E:$E,$BJ27,'Cable Data Master'!$F:$F,$BK27),"")</f>
        <v>0</v>
      </c>
      <c r="BR27" s="86"/>
    </row>
    <row r="28" spans="1:70" s="87" customFormat="1" ht="30" customHeight="1" x14ac:dyDescent="0.35">
      <c r="A28" s="72">
        <v>25</v>
      </c>
      <c r="B28" s="73"/>
      <c r="C28" s="73"/>
      <c r="D28" s="74">
        <v>4.5</v>
      </c>
      <c r="E28" s="74"/>
      <c r="F28" s="74" t="s">
        <v>132</v>
      </c>
      <c r="G28" s="72" t="str">
        <f>IF(OR(C28="",D28="",E28="",H28="",J28="",K28="",L28="",M28="",N28="",O28="",P28="",Q28="",R28="",S28=""),"",IFERROR(LOOKUP(2,1/(('AUTO ENGINE'!$A$2:$A$1201=ROW())*('AUTO ENGINE'!$M$2:$M$1201=1)),'AUTO ENGINE'!$B$2:$B$1201),"NO CABLE PASSES"))</f>
        <v/>
      </c>
      <c r="H28" s="73" t="s">
        <v>133</v>
      </c>
      <c r="I28" s="72">
        <f t="shared" si="0"/>
        <v>0</v>
      </c>
      <c r="J28" s="73">
        <v>1</v>
      </c>
      <c r="K28" s="73">
        <v>415</v>
      </c>
      <c r="L28" s="73">
        <v>0.53</v>
      </c>
      <c r="M28" s="73">
        <v>0.85</v>
      </c>
      <c r="N28" s="73">
        <v>0.95399999999999996</v>
      </c>
      <c r="O28" s="73"/>
      <c r="P28" s="73">
        <v>1.5</v>
      </c>
      <c r="Q28" s="73">
        <v>0.3</v>
      </c>
      <c r="R28" s="72">
        <f t="shared" si="1"/>
        <v>0</v>
      </c>
      <c r="S28" s="73">
        <v>0.2</v>
      </c>
      <c r="T28" s="72">
        <f t="shared" si="2"/>
        <v>0</v>
      </c>
      <c r="U28" s="72">
        <f t="shared" si="40"/>
        <v>0</v>
      </c>
      <c r="V28" s="72">
        <f t="shared" si="4"/>
        <v>0</v>
      </c>
      <c r="W28" s="72">
        <f t="shared" si="5"/>
        <v>0</v>
      </c>
      <c r="X28" s="72">
        <f t="shared" si="6"/>
        <v>0</v>
      </c>
      <c r="Y28" s="72">
        <f t="shared" si="7"/>
        <v>0</v>
      </c>
      <c r="Z28" s="72" t="str">
        <f t="shared" si="8"/>
        <v>PASS</v>
      </c>
      <c r="AA28" s="72">
        <f t="shared" si="9"/>
        <v>0</v>
      </c>
      <c r="AB28" s="72">
        <f t="shared" si="10"/>
        <v>0.95393920141694566</v>
      </c>
      <c r="AC28" s="72">
        <f t="shared" si="11"/>
        <v>0</v>
      </c>
      <c r="AD28" s="72">
        <f t="shared" si="12"/>
        <v>0</v>
      </c>
      <c r="AE28" s="72">
        <f t="shared" si="13"/>
        <v>0</v>
      </c>
      <c r="AF28" s="72" t="str">
        <f>IF(OR(AE28="",AD28=""),"",IF(AE28&lt;='OS-DORAEN'!$B$6,"PASS","FAIL"))</f>
        <v>PASS</v>
      </c>
      <c r="AG28" s="72">
        <f t="shared" si="14"/>
        <v>0.52678268764263703</v>
      </c>
      <c r="AH28" s="72">
        <f t="shared" si="15"/>
        <v>0</v>
      </c>
      <c r="AI28" s="72">
        <f t="shared" si="16"/>
        <v>0</v>
      </c>
      <c r="AJ28" s="72">
        <f t="shared" si="17"/>
        <v>0</v>
      </c>
      <c r="AK28" s="72" t="str">
        <f>IF(OR(AJ28="",AI28=""),"",IF(AJ28&lt;='OS-DORAEN'!$B$5,"PASS","FAIL"))</f>
        <v>PASS</v>
      </c>
      <c r="AL28" s="72" t="str">
        <f t="shared" si="18"/>
        <v/>
      </c>
      <c r="AM28" s="72" t="str">
        <f t="shared" si="19"/>
        <v/>
      </c>
      <c r="AN28" s="72" t="str">
        <f t="shared" si="20"/>
        <v/>
      </c>
      <c r="AO28" s="72" t="str">
        <f t="shared" si="21"/>
        <v>PASS</v>
      </c>
      <c r="AP28" s="72" t="str">
        <f t="shared" si="22"/>
        <v/>
      </c>
      <c r="AQ28" s="72" t="str">
        <f t="shared" si="23"/>
        <v/>
      </c>
      <c r="AR28" s="72" t="str">
        <f t="shared" si="41"/>
        <v/>
      </c>
      <c r="AS28" s="72">
        <f t="shared" si="25"/>
        <v>0</v>
      </c>
      <c r="AT28" s="72">
        <f>IF(AS28="","",IF(AS28&lt;=Lists!$J$2,Lists!$J$2,IFERROR(INDEX(Lists!$J$2:$J$28,IF(INDEX(Lists!$J$2:$J$28,MATCH(AS28,Lists!$J$2:$J$28,1))=AS28,MATCH(AS28,Lists!$J$2:$J$28,1),MATCH(AS28,Lists!$J$2:$J$28,1)+1)),"NO STANDARD CB")))</f>
        <v>16</v>
      </c>
      <c r="AU28" s="72" t="str">
        <f t="shared" si="26"/>
        <v>Manufacturer-specific adjustable trip unit</v>
      </c>
      <c r="AV28" s="72">
        <f t="shared" si="27"/>
        <v>0</v>
      </c>
      <c r="AW28" s="72" t="str">
        <f t="shared" si="28"/>
        <v>Verify manufacturer instantaneous/magnetic pickup</v>
      </c>
      <c r="AX28" s="72" t="str">
        <f t="shared" si="29"/>
        <v>VERIFY MANUFACTURER</v>
      </c>
      <c r="AY28" s="72" t="str">
        <f t="shared" si="30"/>
        <v>PASS</v>
      </c>
      <c r="AZ28" s="72" t="str">
        <f t="shared" si="31"/>
        <v>16 A MCCB; target Ir 0.0 A; manufacturer trip-unit verification required</v>
      </c>
      <c r="BA28" s="73"/>
      <c r="BB28" s="72" t="str">
        <f t="shared" si="32"/>
        <v>ENTER CB Icu/Ics</v>
      </c>
      <c r="BC28" s="72" t="str">
        <f t="shared" si="33"/>
        <v>Enter manufacturer CB Icu/Ics. Required ≥ 0.00 kA</v>
      </c>
      <c r="BD28" s="72" t="str">
        <f>IF(OR(AS28="",AT28="",AV28=""),"",IF(AND(AT28&gt;=AS28,COUNTIF(Lists!$J$2:$J$28,AT28)&gt;0,AV28&gt;=AS28,AV28&lt;=AT28),"PASS","FAIL - REVIEW MCCB FRAME/TRIP UNIT"))</f>
        <v>PASS</v>
      </c>
      <c r="BE28" s="86"/>
      <c r="BF28" s="86" t="str">
        <f t="shared" si="34"/>
        <v>XLPE</v>
      </c>
      <c r="BG28" s="86" t="str">
        <f t="shared" si="35"/>
        <v>3C</v>
      </c>
      <c r="BH28" s="86" t="str">
        <f t="shared" si="36"/>
        <v>Al</v>
      </c>
      <c r="BI28" s="86" t="str">
        <f t="shared" si="37"/>
        <v>XLPE</v>
      </c>
      <c r="BJ28" s="86" t="str">
        <f t="shared" si="38"/>
        <v>Armoured</v>
      </c>
      <c r="BK28" s="86" t="str">
        <f t="shared" si="39"/>
        <v/>
      </c>
      <c r="BL28" s="86">
        <f>IFERROR(SUMIFS('Cable Data Master'!$K:$K,'Cable Data Master'!$A:$A,$BF28,'Cable Data Master'!$B:$B,$BG28,'Cable Data Master'!$C:$C,$BH28,'Cable Data Master'!$D:$D,$BI28,'Cable Data Master'!$E:$E,$BJ28,'Cable Data Master'!$F:$F,$BK28),"")</f>
        <v>0</v>
      </c>
      <c r="BM28" s="86">
        <f>IFERROR(SUMIFS('Cable Data Master'!$L:$L,'Cable Data Master'!$A:$A,$BF28,'Cable Data Master'!$B:$B,$BG28,'Cable Data Master'!$C:$C,$BH28,'Cable Data Master'!$D:$D,$BI28,'Cable Data Master'!$E:$E,$BJ28,'Cable Data Master'!$F:$F,$BK28),"")</f>
        <v>0</v>
      </c>
      <c r="BN28" s="86">
        <f>IFERROR(SUMIFS('Cable Data Master'!$G:$G,'Cable Data Master'!$A:$A,$BF28,'Cable Data Master'!$B:$B,$BG28,'Cable Data Master'!$C:$C,$BH28,'Cable Data Master'!$D:$D,$BI28,'Cable Data Master'!$E:$E,$BJ28,'Cable Data Master'!$F:$F,$BK28),"")</f>
        <v>0</v>
      </c>
      <c r="BO28" s="86">
        <f>IFERROR(SUMIFS('Cable Data Master'!$H:$H,'Cable Data Master'!$A:$A,$BF28,'Cable Data Master'!$B:$B,$BG28,'Cable Data Master'!$C:$C,$BH28,'Cable Data Master'!$D:$D,$BI28,'Cable Data Master'!$E:$E,$BJ28,'Cable Data Master'!$F:$F,$BK28),"")</f>
        <v>0</v>
      </c>
      <c r="BP28" s="86">
        <f>IFERROR(SUMIFS('Cable Data Master'!$I:$I,'Cable Data Master'!$A:$A,$BF28,'Cable Data Master'!$B:$B,$BG28,'Cable Data Master'!$C:$C,$BH28,'Cable Data Master'!$D:$D,$BI28,'Cable Data Master'!$E:$E,$BJ28,'Cable Data Master'!$F:$F,$BK28),"")</f>
        <v>0</v>
      </c>
      <c r="BQ28" s="86">
        <f>IFERROR(SUMIFS('Cable Data Master'!$J:$J,'Cable Data Master'!$A:$A,$BF28,'Cable Data Master'!$B:$B,$BG28,'Cable Data Master'!$C:$C,$BH28,'Cable Data Master'!$D:$D,$BI28,'Cable Data Master'!$E:$E,$BJ28,'Cable Data Master'!$F:$F,$BK28),"")</f>
        <v>0</v>
      </c>
      <c r="BR28" s="86"/>
    </row>
    <row r="29" spans="1:70" s="87" customFormat="1" ht="30" customHeight="1" x14ac:dyDescent="0.35">
      <c r="A29" s="72">
        <v>26</v>
      </c>
      <c r="B29" s="73"/>
      <c r="C29" s="73"/>
      <c r="D29" s="74">
        <v>4.5</v>
      </c>
      <c r="E29" s="74"/>
      <c r="F29" s="74" t="s">
        <v>132</v>
      </c>
      <c r="G29" s="72" t="str">
        <f>IF(OR(C29="",D29="",E29="",H29="",J29="",K29="",L29="",M29="",N29="",O29="",P29="",Q29="",R29="",S29=""),"",IFERROR(LOOKUP(2,1/(('AUTO ENGINE'!$A$2:$A$1201=ROW())*('AUTO ENGINE'!$M$2:$M$1201=1)),'AUTO ENGINE'!$B$2:$B$1201),"NO CABLE PASSES"))</f>
        <v/>
      </c>
      <c r="H29" s="73" t="s">
        <v>133</v>
      </c>
      <c r="I29" s="72">
        <f t="shared" si="0"/>
        <v>0</v>
      </c>
      <c r="J29" s="73">
        <v>1</v>
      </c>
      <c r="K29" s="73">
        <v>415</v>
      </c>
      <c r="L29" s="73">
        <v>0.53</v>
      </c>
      <c r="M29" s="73">
        <v>0.85</v>
      </c>
      <c r="N29" s="73">
        <v>0.95399999999999996</v>
      </c>
      <c r="O29" s="73"/>
      <c r="P29" s="73">
        <v>1.5</v>
      </c>
      <c r="Q29" s="73">
        <v>0.3</v>
      </c>
      <c r="R29" s="72">
        <f t="shared" si="1"/>
        <v>0</v>
      </c>
      <c r="S29" s="73">
        <v>0.2</v>
      </c>
      <c r="T29" s="72">
        <f t="shared" si="2"/>
        <v>0</v>
      </c>
      <c r="U29" s="72">
        <f t="shared" si="40"/>
        <v>0</v>
      </c>
      <c r="V29" s="72">
        <f t="shared" si="4"/>
        <v>0</v>
      </c>
      <c r="W29" s="72">
        <f t="shared" si="5"/>
        <v>0</v>
      </c>
      <c r="X29" s="72">
        <f t="shared" si="6"/>
        <v>0</v>
      </c>
      <c r="Y29" s="72">
        <f t="shared" si="7"/>
        <v>0</v>
      </c>
      <c r="Z29" s="72" t="str">
        <f t="shared" si="8"/>
        <v>PASS</v>
      </c>
      <c r="AA29" s="72">
        <f t="shared" si="9"/>
        <v>0</v>
      </c>
      <c r="AB29" s="72">
        <f t="shared" si="10"/>
        <v>0.95393920141694566</v>
      </c>
      <c r="AC29" s="72">
        <f t="shared" si="11"/>
        <v>0</v>
      </c>
      <c r="AD29" s="72">
        <f t="shared" si="12"/>
        <v>0</v>
      </c>
      <c r="AE29" s="72">
        <f t="shared" si="13"/>
        <v>0</v>
      </c>
      <c r="AF29" s="72" t="str">
        <f>IF(OR(AE29="",AD29=""),"",IF(AE29&lt;='OS-DORAEN'!$B$6,"PASS","FAIL"))</f>
        <v>PASS</v>
      </c>
      <c r="AG29" s="72">
        <f t="shared" si="14"/>
        <v>0.52678268764263703</v>
      </c>
      <c r="AH29" s="72">
        <f t="shared" si="15"/>
        <v>0</v>
      </c>
      <c r="AI29" s="72">
        <f t="shared" si="16"/>
        <v>0</v>
      </c>
      <c r="AJ29" s="72">
        <f t="shared" si="17"/>
        <v>0</v>
      </c>
      <c r="AK29" s="72" t="str">
        <f>IF(OR(AJ29="",AI29=""),"",IF(AJ29&lt;='OS-DORAEN'!$B$5,"PASS","FAIL"))</f>
        <v>PASS</v>
      </c>
      <c r="AL29" s="72" t="str">
        <f t="shared" si="18"/>
        <v/>
      </c>
      <c r="AM29" s="72" t="str">
        <f t="shared" si="19"/>
        <v/>
      </c>
      <c r="AN29" s="72" t="str">
        <f t="shared" si="20"/>
        <v/>
      </c>
      <c r="AO29" s="72" t="str">
        <f t="shared" si="21"/>
        <v>PASS</v>
      </c>
      <c r="AP29" s="72" t="str">
        <f t="shared" si="22"/>
        <v/>
      </c>
      <c r="AQ29" s="72" t="str">
        <f t="shared" si="23"/>
        <v/>
      </c>
      <c r="AR29" s="72" t="str">
        <f t="shared" si="41"/>
        <v/>
      </c>
      <c r="AS29" s="72">
        <f t="shared" si="25"/>
        <v>0</v>
      </c>
      <c r="AT29" s="72">
        <f>IF(AS29="","",IF(AS29&lt;=Lists!$J$2,Lists!$J$2,IFERROR(INDEX(Lists!$J$2:$J$28,IF(INDEX(Lists!$J$2:$J$28,MATCH(AS29,Lists!$J$2:$J$28,1))=AS29,MATCH(AS29,Lists!$J$2:$J$28,1),MATCH(AS29,Lists!$J$2:$J$28,1)+1)),"NO STANDARD CB")))</f>
        <v>16</v>
      </c>
      <c r="AU29" s="72" t="str">
        <f t="shared" si="26"/>
        <v>Manufacturer-specific adjustable trip unit</v>
      </c>
      <c r="AV29" s="72">
        <f t="shared" si="27"/>
        <v>0</v>
      </c>
      <c r="AW29" s="72" t="str">
        <f t="shared" si="28"/>
        <v>Verify manufacturer instantaneous/magnetic pickup</v>
      </c>
      <c r="AX29" s="72" t="str">
        <f t="shared" si="29"/>
        <v>VERIFY MANUFACTURER</v>
      </c>
      <c r="AY29" s="72" t="str">
        <f t="shared" si="30"/>
        <v>PASS</v>
      </c>
      <c r="AZ29" s="72" t="str">
        <f t="shared" si="31"/>
        <v>16 A MCCB; target Ir 0.0 A; manufacturer trip-unit verification required</v>
      </c>
      <c r="BA29" s="73"/>
      <c r="BB29" s="72" t="str">
        <f t="shared" si="32"/>
        <v>ENTER CB Icu/Ics</v>
      </c>
      <c r="BC29" s="72" t="str">
        <f t="shared" si="33"/>
        <v>Enter manufacturer CB Icu/Ics. Required ≥ 0.00 kA</v>
      </c>
      <c r="BD29" s="72" t="str">
        <f>IF(OR(AS29="",AT29="",AV29=""),"",IF(AND(AT29&gt;=AS29,COUNTIF(Lists!$J$2:$J$28,AT29)&gt;0,AV29&gt;=AS29,AV29&lt;=AT29),"PASS","FAIL - REVIEW MCCB FRAME/TRIP UNIT"))</f>
        <v>PASS</v>
      </c>
      <c r="BE29" s="86"/>
      <c r="BF29" s="86" t="str">
        <f t="shared" si="34"/>
        <v>XLPE</v>
      </c>
      <c r="BG29" s="86" t="str">
        <f t="shared" si="35"/>
        <v>3C</v>
      </c>
      <c r="BH29" s="86" t="str">
        <f t="shared" si="36"/>
        <v>Al</v>
      </c>
      <c r="BI29" s="86" t="str">
        <f t="shared" si="37"/>
        <v>XLPE</v>
      </c>
      <c r="BJ29" s="86" t="str">
        <f t="shared" si="38"/>
        <v>Armoured</v>
      </c>
      <c r="BK29" s="86" t="str">
        <f t="shared" si="39"/>
        <v/>
      </c>
      <c r="BL29" s="86">
        <f>IFERROR(SUMIFS('Cable Data Master'!$K:$K,'Cable Data Master'!$A:$A,$BF29,'Cable Data Master'!$B:$B,$BG29,'Cable Data Master'!$C:$C,$BH29,'Cable Data Master'!$D:$D,$BI29,'Cable Data Master'!$E:$E,$BJ29,'Cable Data Master'!$F:$F,$BK29),"")</f>
        <v>0</v>
      </c>
      <c r="BM29" s="86">
        <f>IFERROR(SUMIFS('Cable Data Master'!$L:$L,'Cable Data Master'!$A:$A,$BF29,'Cable Data Master'!$B:$B,$BG29,'Cable Data Master'!$C:$C,$BH29,'Cable Data Master'!$D:$D,$BI29,'Cable Data Master'!$E:$E,$BJ29,'Cable Data Master'!$F:$F,$BK29),"")</f>
        <v>0</v>
      </c>
      <c r="BN29" s="86">
        <f>IFERROR(SUMIFS('Cable Data Master'!$G:$G,'Cable Data Master'!$A:$A,$BF29,'Cable Data Master'!$B:$B,$BG29,'Cable Data Master'!$C:$C,$BH29,'Cable Data Master'!$D:$D,$BI29,'Cable Data Master'!$E:$E,$BJ29,'Cable Data Master'!$F:$F,$BK29),"")</f>
        <v>0</v>
      </c>
      <c r="BO29" s="86">
        <f>IFERROR(SUMIFS('Cable Data Master'!$H:$H,'Cable Data Master'!$A:$A,$BF29,'Cable Data Master'!$B:$B,$BG29,'Cable Data Master'!$C:$C,$BH29,'Cable Data Master'!$D:$D,$BI29,'Cable Data Master'!$E:$E,$BJ29,'Cable Data Master'!$F:$F,$BK29),"")</f>
        <v>0</v>
      </c>
      <c r="BP29" s="86">
        <f>IFERROR(SUMIFS('Cable Data Master'!$I:$I,'Cable Data Master'!$A:$A,$BF29,'Cable Data Master'!$B:$B,$BG29,'Cable Data Master'!$C:$C,$BH29,'Cable Data Master'!$D:$D,$BI29,'Cable Data Master'!$E:$E,$BJ29,'Cable Data Master'!$F:$F,$BK29),"")</f>
        <v>0</v>
      </c>
      <c r="BQ29" s="86">
        <f>IFERROR(SUMIFS('Cable Data Master'!$J:$J,'Cable Data Master'!$A:$A,$BF29,'Cable Data Master'!$B:$B,$BG29,'Cable Data Master'!$C:$C,$BH29,'Cable Data Master'!$D:$D,$BI29,'Cable Data Master'!$E:$E,$BJ29,'Cable Data Master'!$F:$F,$BK29),"")</f>
        <v>0</v>
      </c>
      <c r="BR29" s="86"/>
    </row>
    <row r="30" spans="1:70" s="87" customFormat="1" ht="30" customHeight="1" x14ac:dyDescent="0.35">
      <c r="A30" s="72">
        <v>27</v>
      </c>
      <c r="B30" s="73"/>
      <c r="C30" s="73"/>
      <c r="D30" s="74">
        <v>4.5</v>
      </c>
      <c r="E30" s="74"/>
      <c r="F30" s="74" t="s">
        <v>132</v>
      </c>
      <c r="G30" s="72" t="str">
        <f>IF(OR(C30="",D30="",E30="",H30="",J30="",K30="",L30="",M30="",N30="",O30="",P30="",Q30="",R30="",S30=""),"",IFERROR(LOOKUP(2,1/(('AUTO ENGINE'!$A$2:$A$1201=ROW())*('AUTO ENGINE'!$M$2:$M$1201=1)),'AUTO ENGINE'!$B$2:$B$1201),"NO CABLE PASSES"))</f>
        <v/>
      </c>
      <c r="H30" s="73" t="s">
        <v>133</v>
      </c>
      <c r="I30" s="72">
        <f t="shared" si="0"/>
        <v>0</v>
      </c>
      <c r="J30" s="73">
        <v>1</v>
      </c>
      <c r="K30" s="73">
        <v>415</v>
      </c>
      <c r="L30" s="73">
        <v>0.53</v>
      </c>
      <c r="M30" s="73">
        <v>0.85</v>
      </c>
      <c r="N30" s="73">
        <v>0.95399999999999996</v>
      </c>
      <c r="O30" s="73"/>
      <c r="P30" s="73">
        <v>1.5</v>
      </c>
      <c r="Q30" s="73">
        <v>0.3</v>
      </c>
      <c r="R30" s="72">
        <f t="shared" si="1"/>
        <v>0</v>
      </c>
      <c r="S30" s="73">
        <v>0.2</v>
      </c>
      <c r="T30" s="72">
        <f t="shared" si="2"/>
        <v>0</v>
      </c>
      <c r="U30" s="72">
        <f t="shared" si="40"/>
        <v>0</v>
      </c>
      <c r="V30" s="72">
        <f t="shared" si="4"/>
        <v>0</v>
      </c>
      <c r="W30" s="72">
        <f t="shared" si="5"/>
        <v>0</v>
      </c>
      <c r="X30" s="72">
        <f t="shared" si="6"/>
        <v>0</v>
      </c>
      <c r="Y30" s="72">
        <f t="shared" si="7"/>
        <v>0</v>
      </c>
      <c r="Z30" s="72" t="str">
        <f t="shared" si="8"/>
        <v>PASS</v>
      </c>
      <c r="AA30" s="72">
        <f t="shared" si="9"/>
        <v>0</v>
      </c>
      <c r="AB30" s="72">
        <f t="shared" si="10"/>
        <v>0.95393920141694566</v>
      </c>
      <c r="AC30" s="72">
        <f t="shared" si="11"/>
        <v>0</v>
      </c>
      <c r="AD30" s="72">
        <f t="shared" si="12"/>
        <v>0</v>
      </c>
      <c r="AE30" s="72">
        <f t="shared" si="13"/>
        <v>0</v>
      </c>
      <c r="AF30" s="72" t="str">
        <f>IF(OR(AE30="",AD30=""),"",IF(AE30&lt;='OS-DORAEN'!$B$6,"PASS","FAIL"))</f>
        <v>PASS</v>
      </c>
      <c r="AG30" s="72">
        <f t="shared" si="14"/>
        <v>0.52678268764263703</v>
      </c>
      <c r="AH30" s="72">
        <f t="shared" si="15"/>
        <v>0</v>
      </c>
      <c r="AI30" s="72">
        <f t="shared" si="16"/>
        <v>0</v>
      </c>
      <c r="AJ30" s="72">
        <f t="shared" si="17"/>
        <v>0</v>
      </c>
      <c r="AK30" s="72" t="str">
        <f>IF(OR(AJ30="",AI30=""),"",IF(AJ30&lt;='OS-DORAEN'!$B$5,"PASS","FAIL"))</f>
        <v>PASS</v>
      </c>
      <c r="AL30" s="72" t="str">
        <f t="shared" si="18"/>
        <v/>
      </c>
      <c r="AM30" s="72" t="str">
        <f t="shared" si="19"/>
        <v/>
      </c>
      <c r="AN30" s="72" t="str">
        <f t="shared" si="20"/>
        <v/>
      </c>
      <c r="AO30" s="72" t="str">
        <f t="shared" si="21"/>
        <v>PASS</v>
      </c>
      <c r="AP30" s="72" t="str">
        <f t="shared" si="22"/>
        <v/>
      </c>
      <c r="AQ30" s="72" t="str">
        <f t="shared" si="23"/>
        <v/>
      </c>
      <c r="AR30" s="72" t="str">
        <f t="shared" si="41"/>
        <v/>
      </c>
      <c r="AS30" s="72">
        <f t="shared" si="25"/>
        <v>0</v>
      </c>
      <c r="AT30" s="72">
        <f>IF(AS30="","",IF(AS30&lt;=Lists!$J$2,Lists!$J$2,IFERROR(INDEX(Lists!$J$2:$J$28,IF(INDEX(Lists!$J$2:$J$28,MATCH(AS30,Lists!$J$2:$J$28,1))=AS30,MATCH(AS30,Lists!$J$2:$J$28,1),MATCH(AS30,Lists!$J$2:$J$28,1)+1)),"NO STANDARD CB")))</f>
        <v>16</v>
      </c>
      <c r="AU30" s="72" t="str">
        <f t="shared" si="26"/>
        <v>Manufacturer-specific adjustable trip unit</v>
      </c>
      <c r="AV30" s="72">
        <f t="shared" si="27"/>
        <v>0</v>
      </c>
      <c r="AW30" s="72" t="str">
        <f t="shared" si="28"/>
        <v>Verify manufacturer instantaneous/magnetic pickup</v>
      </c>
      <c r="AX30" s="72" t="str">
        <f t="shared" si="29"/>
        <v>VERIFY MANUFACTURER</v>
      </c>
      <c r="AY30" s="72" t="str">
        <f t="shared" si="30"/>
        <v>PASS</v>
      </c>
      <c r="AZ30" s="72" t="str">
        <f t="shared" si="31"/>
        <v>16 A MCCB; target Ir 0.0 A; manufacturer trip-unit verification required</v>
      </c>
      <c r="BA30" s="73"/>
      <c r="BB30" s="72" t="str">
        <f t="shared" si="32"/>
        <v>ENTER CB Icu/Ics</v>
      </c>
      <c r="BC30" s="72" t="str">
        <f t="shared" si="33"/>
        <v>Enter manufacturer CB Icu/Ics. Required ≥ 0.00 kA</v>
      </c>
      <c r="BD30" s="72" t="str">
        <f>IF(OR(AS30="",AT30="",AV30=""),"",IF(AND(AT30&gt;=AS30,COUNTIF(Lists!$J$2:$J$28,AT30)&gt;0,AV30&gt;=AS30,AV30&lt;=AT30),"PASS","FAIL - REVIEW MCCB FRAME/TRIP UNIT"))</f>
        <v>PASS</v>
      </c>
      <c r="BE30" s="86"/>
      <c r="BF30" s="86" t="str">
        <f t="shared" si="34"/>
        <v>XLPE</v>
      </c>
      <c r="BG30" s="86" t="str">
        <f t="shared" si="35"/>
        <v>3C</v>
      </c>
      <c r="BH30" s="86" t="str">
        <f t="shared" si="36"/>
        <v>Al</v>
      </c>
      <c r="BI30" s="86" t="str">
        <f t="shared" si="37"/>
        <v>XLPE</v>
      </c>
      <c r="BJ30" s="86" t="str">
        <f t="shared" si="38"/>
        <v>Armoured</v>
      </c>
      <c r="BK30" s="86" t="str">
        <f t="shared" si="39"/>
        <v/>
      </c>
      <c r="BL30" s="86">
        <f>IFERROR(SUMIFS('Cable Data Master'!$K:$K,'Cable Data Master'!$A:$A,$BF30,'Cable Data Master'!$B:$B,$BG30,'Cable Data Master'!$C:$C,$BH30,'Cable Data Master'!$D:$D,$BI30,'Cable Data Master'!$E:$E,$BJ30,'Cable Data Master'!$F:$F,$BK30),"")</f>
        <v>0</v>
      </c>
      <c r="BM30" s="86">
        <f>IFERROR(SUMIFS('Cable Data Master'!$L:$L,'Cable Data Master'!$A:$A,$BF30,'Cable Data Master'!$B:$B,$BG30,'Cable Data Master'!$C:$C,$BH30,'Cable Data Master'!$D:$D,$BI30,'Cable Data Master'!$E:$E,$BJ30,'Cable Data Master'!$F:$F,$BK30),"")</f>
        <v>0</v>
      </c>
      <c r="BN30" s="86">
        <f>IFERROR(SUMIFS('Cable Data Master'!$G:$G,'Cable Data Master'!$A:$A,$BF30,'Cable Data Master'!$B:$B,$BG30,'Cable Data Master'!$C:$C,$BH30,'Cable Data Master'!$D:$D,$BI30,'Cable Data Master'!$E:$E,$BJ30,'Cable Data Master'!$F:$F,$BK30),"")</f>
        <v>0</v>
      </c>
      <c r="BO30" s="86">
        <f>IFERROR(SUMIFS('Cable Data Master'!$H:$H,'Cable Data Master'!$A:$A,$BF30,'Cable Data Master'!$B:$B,$BG30,'Cable Data Master'!$C:$C,$BH30,'Cable Data Master'!$D:$D,$BI30,'Cable Data Master'!$E:$E,$BJ30,'Cable Data Master'!$F:$F,$BK30),"")</f>
        <v>0</v>
      </c>
      <c r="BP30" s="86">
        <f>IFERROR(SUMIFS('Cable Data Master'!$I:$I,'Cable Data Master'!$A:$A,$BF30,'Cable Data Master'!$B:$B,$BG30,'Cable Data Master'!$C:$C,$BH30,'Cable Data Master'!$D:$D,$BI30,'Cable Data Master'!$E:$E,$BJ30,'Cable Data Master'!$F:$F,$BK30),"")</f>
        <v>0</v>
      </c>
      <c r="BQ30" s="86">
        <f>IFERROR(SUMIFS('Cable Data Master'!$J:$J,'Cable Data Master'!$A:$A,$BF30,'Cable Data Master'!$B:$B,$BG30,'Cable Data Master'!$C:$C,$BH30,'Cable Data Master'!$D:$D,$BI30,'Cable Data Master'!$E:$E,$BJ30,'Cable Data Master'!$F:$F,$BK30),"")</f>
        <v>0</v>
      </c>
      <c r="BR30" s="86"/>
    </row>
    <row r="31" spans="1:70" s="87" customFormat="1" ht="30" customHeight="1" x14ac:dyDescent="0.35">
      <c r="A31" s="72">
        <v>28</v>
      </c>
      <c r="B31" s="73"/>
      <c r="C31" s="73"/>
      <c r="D31" s="74">
        <v>4.5</v>
      </c>
      <c r="E31" s="74"/>
      <c r="F31" s="74" t="s">
        <v>132</v>
      </c>
      <c r="G31" s="72" t="str">
        <f>IF(OR(C31="",D31="",E31="",H31="",J31="",K31="",L31="",M31="",N31="",O31="",P31="",Q31="",R31="",S31=""),"",IFERROR(LOOKUP(2,1/(('AUTO ENGINE'!$A$2:$A$1201=ROW())*('AUTO ENGINE'!$M$2:$M$1201=1)),'AUTO ENGINE'!$B$2:$B$1201),"NO CABLE PASSES"))</f>
        <v/>
      </c>
      <c r="H31" s="73" t="s">
        <v>133</v>
      </c>
      <c r="I31" s="72">
        <f t="shared" si="0"/>
        <v>0</v>
      </c>
      <c r="J31" s="73">
        <v>1</v>
      </c>
      <c r="K31" s="73">
        <v>415</v>
      </c>
      <c r="L31" s="73">
        <v>0.53</v>
      </c>
      <c r="M31" s="73">
        <v>0.85</v>
      </c>
      <c r="N31" s="73">
        <v>0.95399999999999996</v>
      </c>
      <c r="O31" s="73"/>
      <c r="P31" s="73">
        <v>1.5</v>
      </c>
      <c r="Q31" s="73">
        <v>0.3</v>
      </c>
      <c r="R31" s="72">
        <f t="shared" si="1"/>
        <v>0</v>
      </c>
      <c r="S31" s="73">
        <v>0.2</v>
      </c>
      <c r="T31" s="72">
        <f t="shared" si="2"/>
        <v>0</v>
      </c>
      <c r="U31" s="72">
        <f t="shared" si="40"/>
        <v>0</v>
      </c>
      <c r="V31" s="72">
        <f t="shared" si="4"/>
        <v>0</v>
      </c>
      <c r="W31" s="72">
        <f t="shared" si="5"/>
        <v>0</v>
      </c>
      <c r="X31" s="72">
        <f t="shared" si="6"/>
        <v>0</v>
      </c>
      <c r="Y31" s="72">
        <f t="shared" si="7"/>
        <v>0</v>
      </c>
      <c r="Z31" s="72" t="str">
        <f t="shared" si="8"/>
        <v>PASS</v>
      </c>
      <c r="AA31" s="72">
        <f t="shared" si="9"/>
        <v>0</v>
      </c>
      <c r="AB31" s="72">
        <f t="shared" si="10"/>
        <v>0.95393920141694566</v>
      </c>
      <c r="AC31" s="72">
        <f t="shared" si="11"/>
        <v>0</v>
      </c>
      <c r="AD31" s="72">
        <f t="shared" si="12"/>
        <v>0</v>
      </c>
      <c r="AE31" s="72">
        <f t="shared" si="13"/>
        <v>0</v>
      </c>
      <c r="AF31" s="72" t="str">
        <f>IF(OR(AE31="",AD31=""),"",IF(AE31&lt;='OS-DORAEN'!$B$6,"PASS","FAIL"))</f>
        <v>PASS</v>
      </c>
      <c r="AG31" s="72">
        <f t="shared" si="14"/>
        <v>0.52678268764263703</v>
      </c>
      <c r="AH31" s="72">
        <f t="shared" si="15"/>
        <v>0</v>
      </c>
      <c r="AI31" s="72">
        <f t="shared" si="16"/>
        <v>0</v>
      </c>
      <c r="AJ31" s="72">
        <f t="shared" si="17"/>
        <v>0</v>
      </c>
      <c r="AK31" s="72" t="str">
        <f>IF(OR(AJ31="",AI31=""),"",IF(AJ31&lt;='OS-DORAEN'!$B$5,"PASS","FAIL"))</f>
        <v>PASS</v>
      </c>
      <c r="AL31" s="72" t="str">
        <f t="shared" si="18"/>
        <v/>
      </c>
      <c r="AM31" s="72" t="str">
        <f t="shared" si="19"/>
        <v/>
      </c>
      <c r="AN31" s="72" t="str">
        <f t="shared" si="20"/>
        <v/>
      </c>
      <c r="AO31" s="72" t="str">
        <f t="shared" si="21"/>
        <v>PASS</v>
      </c>
      <c r="AP31" s="72" t="str">
        <f t="shared" si="22"/>
        <v/>
      </c>
      <c r="AQ31" s="72" t="str">
        <f t="shared" si="23"/>
        <v/>
      </c>
      <c r="AR31" s="72" t="str">
        <f t="shared" si="41"/>
        <v/>
      </c>
      <c r="AS31" s="72">
        <f t="shared" si="25"/>
        <v>0</v>
      </c>
      <c r="AT31" s="72">
        <f>IF(AS31="","",IF(AS31&lt;=Lists!$J$2,Lists!$J$2,IFERROR(INDEX(Lists!$J$2:$J$28,IF(INDEX(Lists!$J$2:$J$28,MATCH(AS31,Lists!$J$2:$J$28,1))=AS31,MATCH(AS31,Lists!$J$2:$J$28,1),MATCH(AS31,Lists!$J$2:$J$28,1)+1)),"NO STANDARD CB")))</f>
        <v>16</v>
      </c>
      <c r="AU31" s="72" t="str">
        <f t="shared" si="26"/>
        <v>Manufacturer-specific adjustable trip unit</v>
      </c>
      <c r="AV31" s="72">
        <f t="shared" si="27"/>
        <v>0</v>
      </c>
      <c r="AW31" s="72" t="str">
        <f t="shared" si="28"/>
        <v>Verify manufacturer instantaneous/magnetic pickup</v>
      </c>
      <c r="AX31" s="72" t="str">
        <f t="shared" si="29"/>
        <v>VERIFY MANUFACTURER</v>
      </c>
      <c r="AY31" s="72" t="str">
        <f t="shared" si="30"/>
        <v>PASS</v>
      </c>
      <c r="AZ31" s="72" t="str">
        <f t="shared" si="31"/>
        <v>16 A MCCB; target Ir 0.0 A; manufacturer trip-unit verification required</v>
      </c>
      <c r="BA31" s="73"/>
      <c r="BB31" s="72" t="str">
        <f t="shared" si="32"/>
        <v>ENTER CB Icu/Ics</v>
      </c>
      <c r="BC31" s="72" t="str">
        <f t="shared" si="33"/>
        <v>Enter manufacturer CB Icu/Ics. Required ≥ 0.00 kA</v>
      </c>
      <c r="BD31" s="72" t="str">
        <f>IF(OR(AS31="",AT31="",AV31=""),"",IF(AND(AT31&gt;=AS31,COUNTIF(Lists!$J$2:$J$28,AT31)&gt;0,AV31&gt;=AS31,AV31&lt;=AT31),"PASS","FAIL - REVIEW MCCB FRAME/TRIP UNIT"))</f>
        <v>PASS</v>
      </c>
      <c r="BE31" s="86"/>
      <c r="BF31" s="86" t="str">
        <f t="shared" si="34"/>
        <v>XLPE</v>
      </c>
      <c r="BG31" s="86" t="str">
        <f t="shared" si="35"/>
        <v>3C</v>
      </c>
      <c r="BH31" s="86" t="str">
        <f t="shared" si="36"/>
        <v>Al</v>
      </c>
      <c r="BI31" s="86" t="str">
        <f t="shared" si="37"/>
        <v>XLPE</v>
      </c>
      <c r="BJ31" s="86" t="str">
        <f t="shared" si="38"/>
        <v>Armoured</v>
      </c>
      <c r="BK31" s="86" t="str">
        <f t="shared" si="39"/>
        <v/>
      </c>
      <c r="BL31" s="86">
        <f>IFERROR(SUMIFS('Cable Data Master'!$K:$K,'Cable Data Master'!$A:$A,$BF31,'Cable Data Master'!$B:$B,$BG31,'Cable Data Master'!$C:$C,$BH31,'Cable Data Master'!$D:$D,$BI31,'Cable Data Master'!$E:$E,$BJ31,'Cable Data Master'!$F:$F,$BK31),"")</f>
        <v>0</v>
      </c>
      <c r="BM31" s="86">
        <f>IFERROR(SUMIFS('Cable Data Master'!$L:$L,'Cable Data Master'!$A:$A,$BF31,'Cable Data Master'!$B:$B,$BG31,'Cable Data Master'!$C:$C,$BH31,'Cable Data Master'!$D:$D,$BI31,'Cable Data Master'!$E:$E,$BJ31,'Cable Data Master'!$F:$F,$BK31),"")</f>
        <v>0</v>
      </c>
      <c r="BN31" s="86">
        <f>IFERROR(SUMIFS('Cable Data Master'!$G:$G,'Cable Data Master'!$A:$A,$BF31,'Cable Data Master'!$B:$B,$BG31,'Cable Data Master'!$C:$C,$BH31,'Cable Data Master'!$D:$D,$BI31,'Cable Data Master'!$E:$E,$BJ31,'Cable Data Master'!$F:$F,$BK31),"")</f>
        <v>0</v>
      </c>
      <c r="BO31" s="86">
        <f>IFERROR(SUMIFS('Cable Data Master'!$H:$H,'Cable Data Master'!$A:$A,$BF31,'Cable Data Master'!$B:$B,$BG31,'Cable Data Master'!$C:$C,$BH31,'Cable Data Master'!$D:$D,$BI31,'Cable Data Master'!$E:$E,$BJ31,'Cable Data Master'!$F:$F,$BK31),"")</f>
        <v>0</v>
      </c>
      <c r="BP31" s="86">
        <f>IFERROR(SUMIFS('Cable Data Master'!$I:$I,'Cable Data Master'!$A:$A,$BF31,'Cable Data Master'!$B:$B,$BG31,'Cable Data Master'!$C:$C,$BH31,'Cable Data Master'!$D:$D,$BI31,'Cable Data Master'!$E:$E,$BJ31,'Cable Data Master'!$F:$F,$BK31),"")</f>
        <v>0</v>
      </c>
      <c r="BQ31" s="86">
        <f>IFERROR(SUMIFS('Cable Data Master'!$J:$J,'Cable Data Master'!$A:$A,$BF31,'Cable Data Master'!$B:$B,$BG31,'Cable Data Master'!$C:$C,$BH31,'Cable Data Master'!$D:$D,$BI31,'Cable Data Master'!$E:$E,$BJ31,'Cable Data Master'!$F:$F,$BK31),"")</f>
        <v>0</v>
      </c>
      <c r="BR31" s="86"/>
    </row>
    <row r="32" spans="1:70" s="87" customFormat="1" ht="30" customHeight="1" x14ac:dyDescent="0.35">
      <c r="A32" s="72">
        <v>29</v>
      </c>
      <c r="B32" s="73"/>
      <c r="C32" s="73"/>
      <c r="D32" s="74">
        <v>4.5</v>
      </c>
      <c r="E32" s="74"/>
      <c r="F32" s="74" t="s">
        <v>132</v>
      </c>
      <c r="G32" s="72" t="str">
        <f>IF(OR(C32="",D32="",E32="",H32="",J32="",K32="",L32="",M32="",N32="",O32="",P32="",Q32="",R32="",S32=""),"",IFERROR(LOOKUP(2,1/(('AUTO ENGINE'!$A$2:$A$1201=ROW())*('AUTO ENGINE'!$M$2:$M$1201=1)),'AUTO ENGINE'!$B$2:$B$1201),"NO CABLE PASSES"))</f>
        <v/>
      </c>
      <c r="H32" s="73" t="s">
        <v>133</v>
      </c>
      <c r="I32" s="72">
        <f t="shared" si="0"/>
        <v>0</v>
      </c>
      <c r="J32" s="73">
        <v>1</v>
      </c>
      <c r="K32" s="73">
        <v>415</v>
      </c>
      <c r="L32" s="73">
        <v>0.53</v>
      </c>
      <c r="M32" s="73">
        <v>0.85</v>
      </c>
      <c r="N32" s="73">
        <v>0.95399999999999996</v>
      </c>
      <c r="O32" s="73"/>
      <c r="P32" s="73">
        <v>1.5</v>
      </c>
      <c r="Q32" s="73">
        <v>0.3</v>
      </c>
      <c r="R32" s="72">
        <f t="shared" si="1"/>
        <v>0</v>
      </c>
      <c r="S32" s="73">
        <v>0.2</v>
      </c>
      <c r="T32" s="72">
        <f t="shared" si="2"/>
        <v>0</v>
      </c>
      <c r="U32" s="72">
        <f t="shared" si="40"/>
        <v>0</v>
      </c>
      <c r="V32" s="72">
        <f t="shared" si="4"/>
        <v>0</v>
      </c>
      <c r="W32" s="72">
        <f t="shared" si="5"/>
        <v>0</v>
      </c>
      <c r="X32" s="72">
        <f t="shared" si="6"/>
        <v>0</v>
      </c>
      <c r="Y32" s="72">
        <f t="shared" si="7"/>
        <v>0</v>
      </c>
      <c r="Z32" s="72" t="str">
        <f t="shared" si="8"/>
        <v>PASS</v>
      </c>
      <c r="AA32" s="72">
        <f t="shared" si="9"/>
        <v>0</v>
      </c>
      <c r="AB32" s="72">
        <f t="shared" si="10"/>
        <v>0.95393920141694566</v>
      </c>
      <c r="AC32" s="72">
        <f t="shared" si="11"/>
        <v>0</v>
      </c>
      <c r="AD32" s="72">
        <f t="shared" si="12"/>
        <v>0</v>
      </c>
      <c r="AE32" s="72">
        <f t="shared" si="13"/>
        <v>0</v>
      </c>
      <c r="AF32" s="72" t="str">
        <f>IF(OR(AE32="",AD32=""),"",IF(AE32&lt;='OS-DORAEN'!$B$6,"PASS","FAIL"))</f>
        <v>PASS</v>
      </c>
      <c r="AG32" s="72">
        <f t="shared" si="14"/>
        <v>0.52678268764263703</v>
      </c>
      <c r="AH32" s="72">
        <f t="shared" si="15"/>
        <v>0</v>
      </c>
      <c r="AI32" s="72">
        <f t="shared" si="16"/>
        <v>0</v>
      </c>
      <c r="AJ32" s="72">
        <f t="shared" si="17"/>
        <v>0</v>
      </c>
      <c r="AK32" s="72" t="str">
        <f>IF(OR(AJ32="",AI32=""),"",IF(AJ32&lt;='OS-DORAEN'!$B$5,"PASS","FAIL"))</f>
        <v>PASS</v>
      </c>
      <c r="AL32" s="72" t="str">
        <f t="shared" si="18"/>
        <v/>
      </c>
      <c r="AM32" s="72" t="str">
        <f t="shared" si="19"/>
        <v/>
      </c>
      <c r="AN32" s="72" t="str">
        <f t="shared" si="20"/>
        <v/>
      </c>
      <c r="AO32" s="72" t="str">
        <f t="shared" si="21"/>
        <v>PASS</v>
      </c>
      <c r="AP32" s="72" t="str">
        <f t="shared" si="22"/>
        <v/>
      </c>
      <c r="AQ32" s="72" t="str">
        <f t="shared" si="23"/>
        <v/>
      </c>
      <c r="AR32" s="72" t="str">
        <f t="shared" si="41"/>
        <v/>
      </c>
      <c r="AS32" s="72">
        <f t="shared" si="25"/>
        <v>0</v>
      </c>
      <c r="AT32" s="72">
        <f>IF(AS32="","",IF(AS32&lt;=Lists!$J$2,Lists!$J$2,IFERROR(INDEX(Lists!$J$2:$J$28,IF(INDEX(Lists!$J$2:$J$28,MATCH(AS32,Lists!$J$2:$J$28,1))=AS32,MATCH(AS32,Lists!$J$2:$J$28,1),MATCH(AS32,Lists!$J$2:$J$28,1)+1)),"NO STANDARD CB")))</f>
        <v>16</v>
      </c>
      <c r="AU32" s="72" t="str">
        <f t="shared" si="26"/>
        <v>Manufacturer-specific adjustable trip unit</v>
      </c>
      <c r="AV32" s="72">
        <f t="shared" si="27"/>
        <v>0</v>
      </c>
      <c r="AW32" s="72" t="str">
        <f t="shared" si="28"/>
        <v>Verify manufacturer instantaneous/magnetic pickup</v>
      </c>
      <c r="AX32" s="72" t="str">
        <f t="shared" si="29"/>
        <v>VERIFY MANUFACTURER</v>
      </c>
      <c r="AY32" s="72" t="str">
        <f t="shared" si="30"/>
        <v>PASS</v>
      </c>
      <c r="AZ32" s="72" t="str">
        <f t="shared" si="31"/>
        <v>16 A MCCB; target Ir 0.0 A; manufacturer trip-unit verification required</v>
      </c>
      <c r="BA32" s="73"/>
      <c r="BB32" s="72" t="str">
        <f t="shared" si="32"/>
        <v>ENTER CB Icu/Ics</v>
      </c>
      <c r="BC32" s="72" t="str">
        <f t="shared" si="33"/>
        <v>Enter manufacturer CB Icu/Ics. Required ≥ 0.00 kA</v>
      </c>
      <c r="BD32" s="72" t="str">
        <f>IF(OR(AS32="",AT32="",AV32=""),"",IF(AND(AT32&gt;=AS32,COUNTIF(Lists!$J$2:$J$28,AT32)&gt;0,AV32&gt;=AS32,AV32&lt;=AT32),"PASS","FAIL - REVIEW MCCB FRAME/TRIP UNIT"))</f>
        <v>PASS</v>
      </c>
      <c r="BE32" s="86"/>
      <c r="BF32" s="86" t="str">
        <f t="shared" si="34"/>
        <v>XLPE</v>
      </c>
      <c r="BG32" s="86" t="str">
        <f t="shared" si="35"/>
        <v>3C</v>
      </c>
      <c r="BH32" s="86" t="str">
        <f t="shared" si="36"/>
        <v>Al</v>
      </c>
      <c r="BI32" s="86" t="str">
        <f t="shared" si="37"/>
        <v>XLPE</v>
      </c>
      <c r="BJ32" s="86" t="str">
        <f t="shared" si="38"/>
        <v>Armoured</v>
      </c>
      <c r="BK32" s="86" t="str">
        <f t="shared" si="39"/>
        <v/>
      </c>
      <c r="BL32" s="86">
        <f>IFERROR(SUMIFS('Cable Data Master'!$K:$K,'Cable Data Master'!$A:$A,$BF32,'Cable Data Master'!$B:$B,$BG32,'Cable Data Master'!$C:$C,$BH32,'Cable Data Master'!$D:$D,$BI32,'Cable Data Master'!$E:$E,$BJ32,'Cable Data Master'!$F:$F,$BK32),"")</f>
        <v>0</v>
      </c>
      <c r="BM32" s="86">
        <f>IFERROR(SUMIFS('Cable Data Master'!$L:$L,'Cable Data Master'!$A:$A,$BF32,'Cable Data Master'!$B:$B,$BG32,'Cable Data Master'!$C:$C,$BH32,'Cable Data Master'!$D:$D,$BI32,'Cable Data Master'!$E:$E,$BJ32,'Cable Data Master'!$F:$F,$BK32),"")</f>
        <v>0</v>
      </c>
      <c r="BN32" s="86">
        <f>IFERROR(SUMIFS('Cable Data Master'!$G:$G,'Cable Data Master'!$A:$A,$BF32,'Cable Data Master'!$B:$B,$BG32,'Cable Data Master'!$C:$C,$BH32,'Cable Data Master'!$D:$D,$BI32,'Cable Data Master'!$E:$E,$BJ32,'Cable Data Master'!$F:$F,$BK32),"")</f>
        <v>0</v>
      </c>
      <c r="BO32" s="86">
        <f>IFERROR(SUMIFS('Cable Data Master'!$H:$H,'Cable Data Master'!$A:$A,$BF32,'Cable Data Master'!$B:$B,$BG32,'Cable Data Master'!$C:$C,$BH32,'Cable Data Master'!$D:$D,$BI32,'Cable Data Master'!$E:$E,$BJ32,'Cable Data Master'!$F:$F,$BK32),"")</f>
        <v>0</v>
      </c>
      <c r="BP32" s="86">
        <f>IFERROR(SUMIFS('Cable Data Master'!$I:$I,'Cable Data Master'!$A:$A,$BF32,'Cable Data Master'!$B:$B,$BG32,'Cable Data Master'!$C:$C,$BH32,'Cable Data Master'!$D:$D,$BI32,'Cable Data Master'!$E:$E,$BJ32,'Cable Data Master'!$F:$F,$BK32),"")</f>
        <v>0</v>
      </c>
      <c r="BQ32" s="86">
        <f>IFERROR(SUMIFS('Cable Data Master'!$J:$J,'Cable Data Master'!$A:$A,$BF32,'Cable Data Master'!$B:$B,$BG32,'Cable Data Master'!$C:$C,$BH32,'Cable Data Master'!$D:$D,$BI32,'Cable Data Master'!$E:$E,$BJ32,'Cable Data Master'!$F:$F,$BK32),"")</f>
        <v>0</v>
      </c>
      <c r="BR32" s="86"/>
    </row>
    <row r="33" spans="1:70" s="87" customFormat="1" ht="30" customHeight="1" x14ac:dyDescent="0.35">
      <c r="A33" s="72">
        <v>30</v>
      </c>
      <c r="B33" s="73"/>
      <c r="C33" s="73"/>
      <c r="D33" s="74">
        <v>4.5</v>
      </c>
      <c r="E33" s="74"/>
      <c r="F33" s="74" t="s">
        <v>132</v>
      </c>
      <c r="G33" s="72" t="str">
        <f>IF(OR(C33="",D33="",E33="",H33="",J33="",K33="",L33="",M33="",N33="",O33="",P33="",Q33="",R33="",S33=""),"",IFERROR(LOOKUP(2,1/(('AUTO ENGINE'!$A$2:$A$1201=ROW())*('AUTO ENGINE'!$M$2:$M$1201=1)),'AUTO ENGINE'!$B$2:$B$1201),"NO CABLE PASSES"))</f>
        <v/>
      </c>
      <c r="H33" s="73" t="s">
        <v>133</v>
      </c>
      <c r="I33" s="72">
        <f t="shared" si="0"/>
        <v>0</v>
      </c>
      <c r="J33" s="73">
        <v>1</v>
      </c>
      <c r="K33" s="73">
        <v>415</v>
      </c>
      <c r="L33" s="73">
        <v>0.53</v>
      </c>
      <c r="M33" s="73">
        <v>0.85</v>
      </c>
      <c r="N33" s="73">
        <v>0.95399999999999996</v>
      </c>
      <c r="O33" s="73"/>
      <c r="P33" s="73">
        <v>1.5</v>
      </c>
      <c r="Q33" s="73">
        <v>0.3</v>
      </c>
      <c r="R33" s="72">
        <f t="shared" si="1"/>
        <v>0</v>
      </c>
      <c r="S33" s="73">
        <v>0.2</v>
      </c>
      <c r="T33" s="72">
        <f t="shared" si="2"/>
        <v>0</v>
      </c>
      <c r="U33" s="72">
        <f t="shared" si="40"/>
        <v>0</v>
      </c>
      <c r="V33" s="72">
        <f t="shared" si="4"/>
        <v>0</v>
      </c>
      <c r="W33" s="72">
        <f t="shared" si="5"/>
        <v>0</v>
      </c>
      <c r="X33" s="72">
        <f t="shared" si="6"/>
        <v>0</v>
      </c>
      <c r="Y33" s="72">
        <f t="shared" si="7"/>
        <v>0</v>
      </c>
      <c r="Z33" s="72" t="str">
        <f t="shared" si="8"/>
        <v>PASS</v>
      </c>
      <c r="AA33" s="72">
        <f t="shared" si="9"/>
        <v>0</v>
      </c>
      <c r="AB33" s="72">
        <f t="shared" si="10"/>
        <v>0.95393920141694566</v>
      </c>
      <c r="AC33" s="72">
        <f t="shared" si="11"/>
        <v>0</v>
      </c>
      <c r="AD33" s="72">
        <f t="shared" si="12"/>
        <v>0</v>
      </c>
      <c r="AE33" s="72">
        <f t="shared" si="13"/>
        <v>0</v>
      </c>
      <c r="AF33" s="72" t="str">
        <f>IF(OR(AE33="",AD33=""),"",IF(AE33&lt;='OS-DORAEN'!$B$6,"PASS","FAIL"))</f>
        <v>PASS</v>
      </c>
      <c r="AG33" s="72">
        <f t="shared" si="14"/>
        <v>0.52678268764263703</v>
      </c>
      <c r="AH33" s="72">
        <f t="shared" si="15"/>
        <v>0</v>
      </c>
      <c r="AI33" s="72">
        <f t="shared" si="16"/>
        <v>0</v>
      </c>
      <c r="AJ33" s="72">
        <f t="shared" si="17"/>
        <v>0</v>
      </c>
      <c r="AK33" s="72" t="str">
        <f>IF(OR(AJ33="",AI33=""),"",IF(AJ33&lt;='OS-DORAEN'!$B$5,"PASS","FAIL"))</f>
        <v>PASS</v>
      </c>
      <c r="AL33" s="72" t="str">
        <f t="shared" si="18"/>
        <v/>
      </c>
      <c r="AM33" s="72" t="str">
        <f t="shared" si="19"/>
        <v/>
      </c>
      <c r="AN33" s="72" t="str">
        <f t="shared" si="20"/>
        <v/>
      </c>
      <c r="AO33" s="72" t="str">
        <f t="shared" si="21"/>
        <v>PASS</v>
      </c>
      <c r="AP33" s="72" t="str">
        <f t="shared" si="22"/>
        <v/>
      </c>
      <c r="AQ33" s="72" t="str">
        <f t="shared" si="23"/>
        <v/>
      </c>
      <c r="AR33" s="72" t="str">
        <f t="shared" si="41"/>
        <v/>
      </c>
      <c r="AS33" s="72">
        <f t="shared" si="25"/>
        <v>0</v>
      </c>
      <c r="AT33" s="72">
        <f>IF(AS33="","",IF(AS33&lt;=Lists!$J$2,Lists!$J$2,IFERROR(INDEX(Lists!$J$2:$J$28,IF(INDEX(Lists!$J$2:$J$28,MATCH(AS33,Lists!$J$2:$J$28,1))=AS33,MATCH(AS33,Lists!$J$2:$J$28,1),MATCH(AS33,Lists!$J$2:$J$28,1)+1)),"NO STANDARD CB")))</f>
        <v>16</v>
      </c>
      <c r="AU33" s="72" t="str">
        <f t="shared" si="26"/>
        <v>Manufacturer-specific adjustable trip unit</v>
      </c>
      <c r="AV33" s="72">
        <f t="shared" si="27"/>
        <v>0</v>
      </c>
      <c r="AW33" s="72" t="str">
        <f t="shared" si="28"/>
        <v>Verify manufacturer instantaneous/magnetic pickup</v>
      </c>
      <c r="AX33" s="72" t="str">
        <f t="shared" si="29"/>
        <v>VERIFY MANUFACTURER</v>
      </c>
      <c r="AY33" s="72" t="str">
        <f t="shared" si="30"/>
        <v>PASS</v>
      </c>
      <c r="AZ33" s="72" t="str">
        <f t="shared" si="31"/>
        <v>16 A MCCB; target Ir 0.0 A; manufacturer trip-unit verification required</v>
      </c>
      <c r="BA33" s="73"/>
      <c r="BB33" s="72" t="str">
        <f t="shared" si="32"/>
        <v>ENTER CB Icu/Ics</v>
      </c>
      <c r="BC33" s="72" t="str">
        <f t="shared" si="33"/>
        <v>Enter manufacturer CB Icu/Ics. Required ≥ 0.00 kA</v>
      </c>
      <c r="BD33" s="72" t="str">
        <f>IF(OR(AS33="",AT33="",AV33=""),"",IF(AND(AT33&gt;=AS33,COUNTIF(Lists!$J$2:$J$28,AT33)&gt;0,AV33&gt;=AS33,AV33&lt;=AT33),"PASS","FAIL - REVIEW MCCB FRAME/TRIP UNIT"))</f>
        <v>PASS</v>
      </c>
      <c r="BE33" s="86"/>
      <c r="BF33" s="86" t="str">
        <f t="shared" si="34"/>
        <v>XLPE</v>
      </c>
      <c r="BG33" s="86" t="str">
        <f t="shared" si="35"/>
        <v>3C</v>
      </c>
      <c r="BH33" s="86" t="str">
        <f t="shared" si="36"/>
        <v>Al</v>
      </c>
      <c r="BI33" s="86" t="str">
        <f t="shared" si="37"/>
        <v>XLPE</v>
      </c>
      <c r="BJ33" s="86" t="str">
        <f t="shared" si="38"/>
        <v>Armoured</v>
      </c>
      <c r="BK33" s="86" t="str">
        <f t="shared" si="39"/>
        <v/>
      </c>
      <c r="BL33" s="86">
        <f>IFERROR(SUMIFS('Cable Data Master'!$K:$K,'Cable Data Master'!$A:$A,$BF33,'Cable Data Master'!$B:$B,$BG33,'Cable Data Master'!$C:$C,$BH33,'Cable Data Master'!$D:$D,$BI33,'Cable Data Master'!$E:$E,$BJ33,'Cable Data Master'!$F:$F,$BK33),"")</f>
        <v>0</v>
      </c>
      <c r="BM33" s="86">
        <f>IFERROR(SUMIFS('Cable Data Master'!$L:$L,'Cable Data Master'!$A:$A,$BF33,'Cable Data Master'!$B:$B,$BG33,'Cable Data Master'!$C:$C,$BH33,'Cable Data Master'!$D:$D,$BI33,'Cable Data Master'!$E:$E,$BJ33,'Cable Data Master'!$F:$F,$BK33),"")</f>
        <v>0</v>
      </c>
      <c r="BN33" s="86">
        <f>IFERROR(SUMIFS('Cable Data Master'!$G:$G,'Cable Data Master'!$A:$A,$BF33,'Cable Data Master'!$B:$B,$BG33,'Cable Data Master'!$C:$C,$BH33,'Cable Data Master'!$D:$D,$BI33,'Cable Data Master'!$E:$E,$BJ33,'Cable Data Master'!$F:$F,$BK33),"")</f>
        <v>0</v>
      </c>
      <c r="BO33" s="86">
        <f>IFERROR(SUMIFS('Cable Data Master'!$H:$H,'Cable Data Master'!$A:$A,$BF33,'Cable Data Master'!$B:$B,$BG33,'Cable Data Master'!$C:$C,$BH33,'Cable Data Master'!$D:$D,$BI33,'Cable Data Master'!$E:$E,$BJ33,'Cable Data Master'!$F:$F,$BK33),"")</f>
        <v>0</v>
      </c>
      <c r="BP33" s="86">
        <f>IFERROR(SUMIFS('Cable Data Master'!$I:$I,'Cable Data Master'!$A:$A,$BF33,'Cable Data Master'!$B:$B,$BG33,'Cable Data Master'!$C:$C,$BH33,'Cable Data Master'!$D:$D,$BI33,'Cable Data Master'!$E:$E,$BJ33,'Cable Data Master'!$F:$F,$BK33),"")</f>
        <v>0</v>
      </c>
      <c r="BQ33" s="86">
        <f>IFERROR(SUMIFS('Cable Data Master'!$J:$J,'Cable Data Master'!$A:$A,$BF33,'Cable Data Master'!$B:$B,$BG33,'Cable Data Master'!$C:$C,$BH33,'Cable Data Master'!$D:$D,$BI33,'Cable Data Master'!$E:$E,$BJ33,'Cable Data Master'!$F:$F,$BK33),"")</f>
        <v>0</v>
      </c>
      <c r="BR33" s="86"/>
    </row>
    <row r="34" spans="1:70" s="87" customFormat="1" ht="30" customHeight="1" x14ac:dyDescent="0.35">
      <c r="A34" s="72">
        <v>31</v>
      </c>
      <c r="B34" s="73"/>
      <c r="C34" s="73"/>
      <c r="D34" s="74">
        <v>4.5</v>
      </c>
      <c r="E34" s="74"/>
      <c r="F34" s="74" t="s">
        <v>132</v>
      </c>
      <c r="G34" s="72" t="str">
        <f>IF(OR(C34="",D34="",E34="",H34="",J34="",K34="",L34="",M34="",N34="",O34="",P34="",Q34="",R34="",S34=""),"",IFERROR(LOOKUP(2,1/(('AUTO ENGINE'!$A$2:$A$1201=ROW())*('AUTO ENGINE'!$M$2:$M$1201=1)),'AUTO ENGINE'!$B$2:$B$1201),"NO CABLE PASSES"))</f>
        <v/>
      </c>
      <c r="H34" s="73" t="s">
        <v>133</v>
      </c>
      <c r="I34" s="72">
        <f t="shared" si="0"/>
        <v>0</v>
      </c>
      <c r="J34" s="73">
        <v>1</v>
      </c>
      <c r="K34" s="73">
        <v>415</v>
      </c>
      <c r="L34" s="73">
        <v>0.53</v>
      </c>
      <c r="M34" s="73">
        <v>0.85</v>
      </c>
      <c r="N34" s="73">
        <v>0.95399999999999996</v>
      </c>
      <c r="O34" s="73"/>
      <c r="P34" s="73">
        <v>1.5</v>
      </c>
      <c r="Q34" s="73">
        <v>0.3</v>
      </c>
      <c r="R34" s="72">
        <f t="shared" si="1"/>
        <v>0</v>
      </c>
      <c r="S34" s="73">
        <v>0.2</v>
      </c>
      <c r="T34" s="72">
        <f t="shared" si="2"/>
        <v>0</v>
      </c>
      <c r="U34" s="72">
        <f t="shared" si="40"/>
        <v>0</v>
      </c>
      <c r="V34" s="72">
        <f t="shared" si="4"/>
        <v>0</v>
      </c>
      <c r="W34" s="72">
        <f t="shared" si="5"/>
        <v>0</v>
      </c>
      <c r="X34" s="72">
        <f t="shared" si="6"/>
        <v>0</v>
      </c>
      <c r="Y34" s="72">
        <f t="shared" si="7"/>
        <v>0</v>
      </c>
      <c r="Z34" s="72" t="str">
        <f t="shared" si="8"/>
        <v>PASS</v>
      </c>
      <c r="AA34" s="72">
        <f t="shared" si="9"/>
        <v>0</v>
      </c>
      <c r="AB34" s="72">
        <f t="shared" si="10"/>
        <v>0.95393920141694566</v>
      </c>
      <c r="AC34" s="72">
        <f t="shared" si="11"/>
        <v>0</v>
      </c>
      <c r="AD34" s="72">
        <f t="shared" si="12"/>
        <v>0</v>
      </c>
      <c r="AE34" s="72">
        <f t="shared" si="13"/>
        <v>0</v>
      </c>
      <c r="AF34" s="72" t="str">
        <f>IF(OR(AE34="",AD34=""),"",IF(AE34&lt;='OS-DORAEN'!$B$6,"PASS","FAIL"))</f>
        <v>PASS</v>
      </c>
      <c r="AG34" s="72">
        <f t="shared" si="14"/>
        <v>0.52678268764263703</v>
      </c>
      <c r="AH34" s="72">
        <f t="shared" si="15"/>
        <v>0</v>
      </c>
      <c r="AI34" s="72">
        <f t="shared" si="16"/>
        <v>0</v>
      </c>
      <c r="AJ34" s="72">
        <f t="shared" si="17"/>
        <v>0</v>
      </c>
      <c r="AK34" s="72" t="str">
        <f>IF(OR(AJ34="",AI34=""),"",IF(AJ34&lt;='OS-DORAEN'!$B$5,"PASS","FAIL"))</f>
        <v>PASS</v>
      </c>
      <c r="AL34" s="72" t="str">
        <f t="shared" si="18"/>
        <v/>
      </c>
      <c r="AM34" s="72" t="str">
        <f t="shared" si="19"/>
        <v/>
      </c>
      <c r="AN34" s="72" t="str">
        <f t="shared" si="20"/>
        <v/>
      </c>
      <c r="AO34" s="72" t="str">
        <f t="shared" si="21"/>
        <v>PASS</v>
      </c>
      <c r="AP34" s="72" t="str">
        <f t="shared" si="22"/>
        <v/>
      </c>
      <c r="AQ34" s="72" t="str">
        <f t="shared" si="23"/>
        <v/>
      </c>
      <c r="AR34" s="72" t="str">
        <f t="shared" si="41"/>
        <v/>
      </c>
      <c r="AS34" s="72">
        <f t="shared" si="25"/>
        <v>0</v>
      </c>
      <c r="AT34" s="72">
        <f>IF(AS34="","",IF(AS34&lt;=Lists!$J$2,Lists!$J$2,IFERROR(INDEX(Lists!$J$2:$J$28,IF(INDEX(Lists!$J$2:$J$28,MATCH(AS34,Lists!$J$2:$J$28,1))=AS34,MATCH(AS34,Lists!$J$2:$J$28,1),MATCH(AS34,Lists!$J$2:$J$28,1)+1)),"NO STANDARD CB")))</f>
        <v>16</v>
      </c>
      <c r="AU34" s="72" t="str">
        <f t="shared" si="26"/>
        <v>Manufacturer-specific adjustable trip unit</v>
      </c>
      <c r="AV34" s="72">
        <f t="shared" si="27"/>
        <v>0</v>
      </c>
      <c r="AW34" s="72" t="str">
        <f t="shared" si="28"/>
        <v>Verify manufacturer instantaneous/magnetic pickup</v>
      </c>
      <c r="AX34" s="72" t="str">
        <f t="shared" si="29"/>
        <v>VERIFY MANUFACTURER</v>
      </c>
      <c r="AY34" s="72" t="str">
        <f t="shared" si="30"/>
        <v>PASS</v>
      </c>
      <c r="AZ34" s="72" t="str">
        <f t="shared" si="31"/>
        <v>16 A MCCB; target Ir 0.0 A; manufacturer trip-unit verification required</v>
      </c>
      <c r="BA34" s="73"/>
      <c r="BB34" s="72" t="str">
        <f t="shared" si="32"/>
        <v>ENTER CB Icu/Ics</v>
      </c>
      <c r="BC34" s="72" t="str">
        <f t="shared" si="33"/>
        <v>Enter manufacturer CB Icu/Ics. Required ≥ 0.00 kA</v>
      </c>
      <c r="BD34" s="72" t="str">
        <f>IF(OR(AS34="",AT34="",AV34=""),"",IF(AND(AT34&gt;=AS34,COUNTIF(Lists!$J$2:$J$28,AT34)&gt;0,AV34&gt;=AS34,AV34&lt;=AT34),"PASS","FAIL - REVIEW MCCB FRAME/TRIP UNIT"))</f>
        <v>PASS</v>
      </c>
      <c r="BE34" s="86"/>
      <c r="BF34" s="86" t="str">
        <f t="shared" si="34"/>
        <v>XLPE</v>
      </c>
      <c r="BG34" s="86" t="str">
        <f t="shared" si="35"/>
        <v>3C</v>
      </c>
      <c r="BH34" s="86" t="str">
        <f t="shared" si="36"/>
        <v>Al</v>
      </c>
      <c r="BI34" s="86" t="str">
        <f t="shared" si="37"/>
        <v>XLPE</v>
      </c>
      <c r="BJ34" s="86" t="str">
        <f t="shared" si="38"/>
        <v>Armoured</v>
      </c>
      <c r="BK34" s="86" t="str">
        <f t="shared" si="39"/>
        <v/>
      </c>
      <c r="BL34" s="86">
        <f>IFERROR(SUMIFS('Cable Data Master'!$K:$K,'Cable Data Master'!$A:$A,$BF34,'Cable Data Master'!$B:$B,$BG34,'Cable Data Master'!$C:$C,$BH34,'Cable Data Master'!$D:$D,$BI34,'Cable Data Master'!$E:$E,$BJ34,'Cable Data Master'!$F:$F,$BK34),"")</f>
        <v>0</v>
      </c>
      <c r="BM34" s="86">
        <f>IFERROR(SUMIFS('Cable Data Master'!$L:$L,'Cable Data Master'!$A:$A,$BF34,'Cable Data Master'!$B:$B,$BG34,'Cable Data Master'!$C:$C,$BH34,'Cable Data Master'!$D:$D,$BI34,'Cable Data Master'!$E:$E,$BJ34,'Cable Data Master'!$F:$F,$BK34),"")</f>
        <v>0</v>
      </c>
      <c r="BN34" s="86">
        <f>IFERROR(SUMIFS('Cable Data Master'!$G:$G,'Cable Data Master'!$A:$A,$BF34,'Cable Data Master'!$B:$B,$BG34,'Cable Data Master'!$C:$C,$BH34,'Cable Data Master'!$D:$D,$BI34,'Cable Data Master'!$E:$E,$BJ34,'Cable Data Master'!$F:$F,$BK34),"")</f>
        <v>0</v>
      </c>
      <c r="BO34" s="86">
        <f>IFERROR(SUMIFS('Cable Data Master'!$H:$H,'Cable Data Master'!$A:$A,$BF34,'Cable Data Master'!$B:$B,$BG34,'Cable Data Master'!$C:$C,$BH34,'Cable Data Master'!$D:$D,$BI34,'Cable Data Master'!$E:$E,$BJ34,'Cable Data Master'!$F:$F,$BK34),"")</f>
        <v>0</v>
      </c>
      <c r="BP34" s="86">
        <f>IFERROR(SUMIFS('Cable Data Master'!$I:$I,'Cable Data Master'!$A:$A,$BF34,'Cable Data Master'!$B:$B,$BG34,'Cable Data Master'!$C:$C,$BH34,'Cable Data Master'!$D:$D,$BI34,'Cable Data Master'!$E:$E,$BJ34,'Cable Data Master'!$F:$F,$BK34),"")</f>
        <v>0</v>
      </c>
      <c r="BQ34" s="86">
        <f>IFERROR(SUMIFS('Cable Data Master'!$J:$J,'Cable Data Master'!$A:$A,$BF34,'Cable Data Master'!$B:$B,$BG34,'Cable Data Master'!$C:$C,$BH34,'Cable Data Master'!$D:$D,$BI34,'Cable Data Master'!$E:$E,$BJ34,'Cable Data Master'!$F:$F,$BK34),"")</f>
        <v>0</v>
      </c>
      <c r="BR34" s="86"/>
    </row>
    <row r="35" spans="1:70" s="87" customFormat="1" ht="30" customHeight="1" x14ac:dyDescent="0.35">
      <c r="A35" s="72">
        <v>32</v>
      </c>
      <c r="B35" s="73"/>
      <c r="C35" s="73"/>
      <c r="D35" s="74">
        <v>4.5</v>
      </c>
      <c r="E35" s="74"/>
      <c r="F35" s="74" t="s">
        <v>132</v>
      </c>
      <c r="G35" s="72" t="str">
        <f>IF(OR(C35="",D35="",E35="",H35="",J35="",K35="",L35="",M35="",N35="",O35="",P35="",Q35="",R35="",S35=""),"",IFERROR(LOOKUP(2,1/(('AUTO ENGINE'!$A$2:$A$1201=ROW())*('AUTO ENGINE'!$M$2:$M$1201=1)),'AUTO ENGINE'!$B$2:$B$1201),"NO CABLE PASSES"))</f>
        <v/>
      </c>
      <c r="H35" s="73" t="s">
        <v>133</v>
      </c>
      <c r="I35" s="72">
        <f t="shared" si="0"/>
        <v>0</v>
      </c>
      <c r="J35" s="73">
        <v>1</v>
      </c>
      <c r="K35" s="73">
        <v>415</v>
      </c>
      <c r="L35" s="73">
        <v>0.53</v>
      </c>
      <c r="M35" s="73">
        <v>0.85</v>
      </c>
      <c r="N35" s="73">
        <v>0.95399999999999996</v>
      </c>
      <c r="O35" s="73"/>
      <c r="P35" s="73">
        <v>1.5</v>
      </c>
      <c r="Q35" s="73">
        <v>0.3</v>
      </c>
      <c r="R35" s="72">
        <f t="shared" si="1"/>
        <v>0</v>
      </c>
      <c r="S35" s="73">
        <v>0.2</v>
      </c>
      <c r="T35" s="72">
        <f t="shared" si="2"/>
        <v>0</v>
      </c>
      <c r="U35" s="72">
        <f t="shared" si="40"/>
        <v>0</v>
      </c>
      <c r="V35" s="72">
        <f t="shared" si="4"/>
        <v>0</v>
      </c>
      <c r="W35" s="72">
        <f t="shared" si="5"/>
        <v>0</v>
      </c>
      <c r="X35" s="72">
        <f t="shared" si="6"/>
        <v>0</v>
      </c>
      <c r="Y35" s="72">
        <f t="shared" si="7"/>
        <v>0</v>
      </c>
      <c r="Z35" s="72" t="str">
        <f t="shared" si="8"/>
        <v>PASS</v>
      </c>
      <c r="AA35" s="72">
        <f t="shared" si="9"/>
        <v>0</v>
      </c>
      <c r="AB35" s="72">
        <f t="shared" si="10"/>
        <v>0.95393920141694566</v>
      </c>
      <c r="AC35" s="72">
        <f t="shared" si="11"/>
        <v>0</v>
      </c>
      <c r="AD35" s="72">
        <f t="shared" si="12"/>
        <v>0</v>
      </c>
      <c r="AE35" s="72">
        <f t="shared" si="13"/>
        <v>0</v>
      </c>
      <c r="AF35" s="72" t="str">
        <f>IF(OR(AE35="",AD35=""),"",IF(AE35&lt;='OS-DORAEN'!$B$6,"PASS","FAIL"))</f>
        <v>PASS</v>
      </c>
      <c r="AG35" s="72">
        <f t="shared" si="14"/>
        <v>0.52678268764263703</v>
      </c>
      <c r="AH35" s="72">
        <f t="shared" si="15"/>
        <v>0</v>
      </c>
      <c r="AI35" s="72">
        <f t="shared" si="16"/>
        <v>0</v>
      </c>
      <c r="AJ35" s="72">
        <f t="shared" si="17"/>
        <v>0</v>
      </c>
      <c r="AK35" s="72" t="str">
        <f>IF(OR(AJ35="",AI35=""),"",IF(AJ35&lt;='OS-DORAEN'!$B$5,"PASS","FAIL"))</f>
        <v>PASS</v>
      </c>
      <c r="AL35" s="72" t="str">
        <f t="shared" si="18"/>
        <v/>
      </c>
      <c r="AM35" s="72" t="str">
        <f t="shared" si="19"/>
        <v/>
      </c>
      <c r="AN35" s="72" t="str">
        <f t="shared" si="20"/>
        <v/>
      </c>
      <c r="AO35" s="72" t="str">
        <f t="shared" si="21"/>
        <v>PASS</v>
      </c>
      <c r="AP35" s="72" t="str">
        <f t="shared" si="22"/>
        <v/>
      </c>
      <c r="AQ35" s="72" t="str">
        <f t="shared" si="23"/>
        <v/>
      </c>
      <c r="AR35" s="72" t="str">
        <f t="shared" si="41"/>
        <v/>
      </c>
      <c r="AS35" s="72">
        <f t="shared" si="25"/>
        <v>0</v>
      </c>
      <c r="AT35" s="72">
        <f>IF(AS35="","",IF(AS35&lt;=Lists!$J$2,Lists!$J$2,IFERROR(INDEX(Lists!$J$2:$J$28,IF(INDEX(Lists!$J$2:$J$28,MATCH(AS35,Lists!$J$2:$J$28,1))=AS35,MATCH(AS35,Lists!$J$2:$J$28,1),MATCH(AS35,Lists!$J$2:$J$28,1)+1)),"NO STANDARD CB")))</f>
        <v>16</v>
      </c>
      <c r="AU35" s="72" t="str">
        <f t="shared" si="26"/>
        <v>Manufacturer-specific adjustable trip unit</v>
      </c>
      <c r="AV35" s="72">
        <f t="shared" si="27"/>
        <v>0</v>
      </c>
      <c r="AW35" s="72" t="str">
        <f t="shared" si="28"/>
        <v>Verify manufacturer instantaneous/magnetic pickup</v>
      </c>
      <c r="AX35" s="72" t="str">
        <f t="shared" si="29"/>
        <v>VERIFY MANUFACTURER</v>
      </c>
      <c r="AY35" s="72" t="str">
        <f t="shared" si="30"/>
        <v>PASS</v>
      </c>
      <c r="AZ35" s="72" t="str">
        <f t="shared" si="31"/>
        <v>16 A MCCB; target Ir 0.0 A; manufacturer trip-unit verification required</v>
      </c>
      <c r="BA35" s="73"/>
      <c r="BB35" s="72" t="str">
        <f t="shared" si="32"/>
        <v>ENTER CB Icu/Ics</v>
      </c>
      <c r="BC35" s="72" t="str">
        <f t="shared" si="33"/>
        <v>Enter manufacturer CB Icu/Ics. Required ≥ 0.00 kA</v>
      </c>
      <c r="BD35" s="72" t="str">
        <f>IF(OR(AS35="",AT35="",AV35=""),"",IF(AND(AT35&gt;=AS35,COUNTIF(Lists!$J$2:$J$28,AT35)&gt;0,AV35&gt;=AS35,AV35&lt;=AT35),"PASS","FAIL - REVIEW MCCB FRAME/TRIP UNIT"))</f>
        <v>PASS</v>
      </c>
      <c r="BE35" s="86"/>
      <c r="BF35" s="86" t="str">
        <f t="shared" si="34"/>
        <v>XLPE</v>
      </c>
      <c r="BG35" s="86" t="str">
        <f t="shared" si="35"/>
        <v>3C</v>
      </c>
      <c r="BH35" s="86" t="str">
        <f t="shared" si="36"/>
        <v>Al</v>
      </c>
      <c r="BI35" s="86" t="str">
        <f t="shared" si="37"/>
        <v>XLPE</v>
      </c>
      <c r="BJ35" s="86" t="str">
        <f t="shared" si="38"/>
        <v>Armoured</v>
      </c>
      <c r="BK35" s="86" t="str">
        <f t="shared" si="39"/>
        <v/>
      </c>
      <c r="BL35" s="86">
        <f>IFERROR(SUMIFS('Cable Data Master'!$K:$K,'Cable Data Master'!$A:$A,$BF35,'Cable Data Master'!$B:$B,$BG35,'Cable Data Master'!$C:$C,$BH35,'Cable Data Master'!$D:$D,$BI35,'Cable Data Master'!$E:$E,$BJ35,'Cable Data Master'!$F:$F,$BK35),"")</f>
        <v>0</v>
      </c>
      <c r="BM35" s="86">
        <f>IFERROR(SUMIFS('Cable Data Master'!$L:$L,'Cable Data Master'!$A:$A,$BF35,'Cable Data Master'!$B:$B,$BG35,'Cable Data Master'!$C:$C,$BH35,'Cable Data Master'!$D:$D,$BI35,'Cable Data Master'!$E:$E,$BJ35,'Cable Data Master'!$F:$F,$BK35),"")</f>
        <v>0</v>
      </c>
      <c r="BN35" s="86">
        <f>IFERROR(SUMIFS('Cable Data Master'!$G:$G,'Cable Data Master'!$A:$A,$BF35,'Cable Data Master'!$B:$B,$BG35,'Cable Data Master'!$C:$C,$BH35,'Cable Data Master'!$D:$D,$BI35,'Cable Data Master'!$E:$E,$BJ35,'Cable Data Master'!$F:$F,$BK35),"")</f>
        <v>0</v>
      </c>
      <c r="BO35" s="86">
        <f>IFERROR(SUMIFS('Cable Data Master'!$H:$H,'Cable Data Master'!$A:$A,$BF35,'Cable Data Master'!$B:$B,$BG35,'Cable Data Master'!$C:$C,$BH35,'Cable Data Master'!$D:$D,$BI35,'Cable Data Master'!$E:$E,$BJ35,'Cable Data Master'!$F:$F,$BK35),"")</f>
        <v>0</v>
      </c>
      <c r="BP35" s="86">
        <f>IFERROR(SUMIFS('Cable Data Master'!$I:$I,'Cable Data Master'!$A:$A,$BF35,'Cable Data Master'!$B:$B,$BG35,'Cable Data Master'!$C:$C,$BH35,'Cable Data Master'!$D:$D,$BI35,'Cable Data Master'!$E:$E,$BJ35,'Cable Data Master'!$F:$F,$BK35),"")</f>
        <v>0</v>
      </c>
      <c r="BQ35" s="86">
        <f>IFERROR(SUMIFS('Cable Data Master'!$J:$J,'Cable Data Master'!$A:$A,$BF35,'Cable Data Master'!$B:$B,$BG35,'Cable Data Master'!$C:$C,$BH35,'Cable Data Master'!$D:$D,$BI35,'Cable Data Master'!$E:$E,$BJ35,'Cable Data Master'!$F:$F,$BK35),"")</f>
        <v>0</v>
      </c>
      <c r="BR35" s="86"/>
    </row>
    <row r="36" spans="1:70" s="87" customFormat="1" ht="30" customHeight="1" x14ac:dyDescent="0.35">
      <c r="A36" s="72">
        <v>33</v>
      </c>
      <c r="B36" s="73"/>
      <c r="C36" s="73"/>
      <c r="D36" s="74">
        <v>4.5</v>
      </c>
      <c r="E36" s="74"/>
      <c r="F36" s="74" t="s">
        <v>132</v>
      </c>
      <c r="G36" s="72" t="str">
        <f>IF(OR(C36="",D36="",E36="",H36="",J36="",K36="",L36="",M36="",N36="",O36="",P36="",Q36="",R36="",S36=""),"",IFERROR(LOOKUP(2,1/(('AUTO ENGINE'!$A$2:$A$1201=ROW())*('AUTO ENGINE'!$M$2:$M$1201=1)),'AUTO ENGINE'!$B$2:$B$1201),"NO CABLE PASSES"))</f>
        <v/>
      </c>
      <c r="H36" s="73" t="s">
        <v>133</v>
      </c>
      <c r="I36" s="72">
        <f t="shared" ref="I36:I67" si="42">IFERROR(BM36,"")</f>
        <v>0</v>
      </c>
      <c r="J36" s="73">
        <v>1</v>
      </c>
      <c r="K36" s="73">
        <v>415</v>
      </c>
      <c r="L36" s="73">
        <v>0.53</v>
      </c>
      <c r="M36" s="73">
        <v>0.85</v>
      </c>
      <c r="N36" s="73">
        <v>0.95399999999999996</v>
      </c>
      <c r="O36" s="73"/>
      <c r="P36" s="73">
        <v>1.5</v>
      </c>
      <c r="Q36" s="73">
        <v>0.3</v>
      </c>
      <c r="R36" s="72">
        <f t="shared" ref="R36:R67" si="43">IFERROR(C36*1000/(SQRT(3)*K36*(D36/100))/1000,"")</f>
        <v>0</v>
      </c>
      <c r="S36" s="73">
        <v>0.2</v>
      </c>
      <c r="T36" s="72">
        <f t="shared" ref="T36:T67" si="44">IFERROR(BQ36,"")</f>
        <v>0</v>
      </c>
      <c r="U36" s="72">
        <f t="shared" si="40"/>
        <v>0</v>
      </c>
      <c r="V36" s="72">
        <f t="shared" ref="V36:V67" si="45">IFERROR(BN36,"")</f>
        <v>0</v>
      </c>
      <c r="W36" s="72">
        <f t="shared" ref="W36:W67" si="46">IFERROR(BO36,"")</f>
        <v>0</v>
      </c>
      <c r="X36" s="72">
        <f t="shared" ref="X36:X67" si="47">IFERROR(BP36,"")</f>
        <v>0</v>
      </c>
      <c r="Y36" s="72">
        <f t="shared" ref="Y36:Y67" si="48">IFERROR(J36*L36*V36,"")</f>
        <v>0</v>
      </c>
      <c r="Z36" s="72" t="str">
        <f t="shared" ref="Z36:Z67" si="49">IF(OR(U36="",Y36=""),"",IF(Y36&gt;=U36,"PASS","FAIL"))</f>
        <v>PASS</v>
      </c>
      <c r="AA36" s="72">
        <f t="shared" ref="AA36:AA67" si="50">IFERROR(U36*P36,"")</f>
        <v>0</v>
      </c>
      <c r="AB36" s="72">
        <f t="shared" ref="AB36:AB67" si="51">IFERROR(SQRT(1-Q36^2),"")</f>
        <v>0.95393920141694566</v>
      </c>
      <c r="AC36" s="72">
        <f t="shared" ref="AC36:AC67" si="52">IFERROR(((W36*Q36)+(X36*AB36))/J36,"")</f>
        <v>0</v>
      </c>
      <c r="AD36" s="72">
        <f t="shared" ref="AD36:AD67" si="53">IFERROR(IF(AND(ISNUMBER(W36),ISNUMBER(X36),W36&gt;0,X36&gt;0),SQRT(3)*O36*AA36*((W36*Q36)+(X36*AB36))/J36,BL36*AA36*O36/J36),"")</f>
        <v>0</v>
      </c>
      <c r="AE36" s="72">
        <f t="shared" ref="AE36:AE67" si="54">IFERROR(AD36/K36*100,"")</f>
        <v>0</v>
      </c>
      <c r="AF36" s="72" t="str">
        <f>IF(OR(AE36="",AD36=""),"",IF(AE36&lt;='OS-DORAEN'!$B$6,"PASS","FAIL"))</f>
        <v>PASS</v>
      </c>
      <c r="AG36" s="72">
        <f t="shared" ref="AG36:AG67" si="55">IFERROR(SQRT(1-M36^2),"")</f>
        <v>0.52678268764263703</v>
      </c>
      <c r="AH36" s="72">
        <f t="shared" ref="AH36:AH67" si="56">IFERROR(((W36*M36)+(X36*AG36))/J36,"")</f>
        <v>0</v>
      </c>
      <c r="AI36" s="72">
        <f t="shared" ref="AI36:AI67" si="57">IFERROR(IF(AND(ISNUMBER(W36),ISNUMBER(X36),W36&gt;0,X36&gt;0),SQRT(3)*O36*U36*((W36*M36)+(X36*AG36))/J36,BL36*U36*O36/J36),"")</f>
        <v>0</v>
      </c>
      <c r="AJ36" s="72">
        <f t="shared" ref="AJ36:AJ67" si="58">IFERROR(AI36/K36*100,"")</f>
        <v>0</v>
      </c>
      <c r="AK36" s="72" t="str">
        <f>IF(OR(AJ36="",AI36=""),"",IF(AJ36&lt;='OS-DORAEN'!$B$5,"PASS","FAIL"))</f>
        <v>PASS</v>
      </c>
      <c r="AL36" s="72" t="str">
        <f t="shared" ref="AL36:AL67" si="59">IFERROR(R36*1000*SQRT(S36)/T36,"")</f>
        <v/>
      </c>
      <c r="AM36" s="72" t="str">
        <f t="shared" ref="AM36:AM67" si="60">IFERROR(G36*J36,"")</f>
        <v/>
      </c>
      <c r="AN36" s="72" t="str">
        <f t="shared" ref="AN36:AN67" si="61">IFERROR(T36*AM36/SQRT(S36)/1000,"")</f>
        <v/>
      </c>
      <c r="AO36" s="72" t="str">
        <f t="shared" ref="AO36:AO67" si="62">IF(OR(R36="",S36="",T36=""),"NOT CHECKED",IF(AN36&gt;=R36,"PASS","FAIL"))</f>
        <v>PASS</v>
      </c>
      <c r="AP36" s="72" t="str">
        <f t="shared" ref="AP36:AP67" si="63">IF(OR(B36="",E36=""),"",IF(AND(Z36="PASS",AF36="PASS",AK36="PASS",AO36="PASS"),"SUITABLE","NOT SUITABLE"))</f>
        <v/>
      </c>
      <c r="AQ36" s="72" t="str">
        <f t="shared" ref="AQ36:AQ67" si="64">IF(OR(B36="",E36=""),"",3)</f>
        <v/>
      </c>
      <c r="AR36" s="72" t="str">
        <f t="shared" si="41"/>
        <v/>
      </c>
      <c r="AS36" s="72">
        <f t="shared" ref="AS36:AS67" si="65">IF(U36="","",ROUND(U36,1))</f>
        <v>0</v>
      </c>
      <c r="AT36" s="72">
        <f>IF(AS36="","",IF(AS36&lt;=Lists!$J$2,Lists!$J$2,IFERROR(INDEX(Lists!$J$2:$J$28,IF(INDEX(Lists!$J$2:$J$28,MATCH(AS36,Lists!$J$2:$J$28,1))=AS36,MATCH(AS36,Lists!$J$2:$J$28,1),MATCH(AS36,Lists!$J$2:$J$28,1)+1)),"NO STANDARD CB")))</f>
        <v>16</v>
      </c>
      <c r="AU36" s="72" t="str">
        <f t="shared" ref="AU36:AU67" si="66">IF(AT36="","","Manufacturer-specific adjustable trip unit")</f>
        <v>Manufacturer-specific adjustable trip unit</v>
      </c>
      <c r="AV36" s="72">
        <f t="shared" ref="AV36:AV67" si="67">IF(AS36="","",ROUND(AS36,1))</f>
        <v>0</v>
      </c>
      <c r="AW36" s="72" t="str">
        <f t="shared" ref="AW36:AW67" si="68">IF(AT36="","","Verify manufacturer instantaneous/magnetic pickup")</f>
        <v>Verify manufacturer instantaneous/magnetic pickup</v>
      </c>
      <c r="AX36" s="72" t="str">
        <f t="shared" ref="AX36:AX67" si="69">IF(AA36="","","VERIFY MANUFACTURER")</f>
        <v>VERIFY MANUFACTURER</v>
      </c>
      <c r="AY36" s="72" t="str">
        <f t="shared" ref="AY36:AY67" si="70">IF(OR(AV36="",Y36="",AS36=""),"",IF(AND(AV36&gt;=AS36,AV36&lt;=Y36),"PASS","FAIL - THERMAL SETTING NOT COORDINATED"))</f>
        <v>PASS</v>
      </c>
      <c r="AZ36" s="72" t="str">
        <f t="shared" ref="AZ36:AZ67" si="71">IF(AS36="","",TEXT(AT36,"0")&amp;" A MCCB; target Ir "&amp;TEXT(AV36,"0.0")&amp;" A; manufacturer trip-unit verification required")</f>
        <v>16 A MCCB; target Ir 0.0 A; manufacturer trip-unit verification required</v>
      </c>
      <c r="BA36" s="73"/>
      <c r="BB36" s="72" t="str">
        <f t="shared" ref="BB36:BB67" si="72">IF(OR(R36="",BA36=""),"ENTER CB Icu/Ics",IF(BA36&gt;=R36,"PASS","FAIL - CB Icu/Ics &lt; FAULT LEVEL"))</f>
        <v>ENTER CB Icu/Ics</v>
      </c>
      <c r="BC36" s="72" t="str">
        <f t="shared" ref="BC36:BC67" si="73">IF(R36="","",IF(BA36="","Enter manufacturer CB Icu/Ics. Required ≥ "&amp;TEXT(R36,"0.00")&amp;" kA",IF(BA36&lt;R36,"FAIL: CB Icu/Ics "&amp;TEXT(BA36,"0.00")&amp;" kA &lt; fault level "&amp;TEXT(R36,"0.00")&amp;" kA","PASS: CB Icu/Ics "&amp;TEXT(BA36,"0.00")&amp;" kA ≥ fault level "&amp;TEXT(R36,"0.00")&amp;" kA")))</f>
        <v>Enter manufacturer CB Icu/Ics. Required ≥ 0.00 kA</v>
      </c>
      <c r="BD36" s="72" t="str">
        <f>IF(OR(AS36="",AT36="",AV36=""),"",IF(AND(AT36&gt;=AS36,COUNTIF(Lists!$J$2:$J$28,AT36)&gt;0,AV36&gt;=AS36,AV36&lt;=AT36),"PASS","FAIL - REVIEW MCCB FRAME/TRIP UNIT"))</f>
        <v>PASS</v>
      </c>
      <c r="BE36" s="86"/>
      <c r="BF36" s="86" t="str">
        <f t="shared" ref="BF36:BF67" si="74">IFERROR(TRIM(BI36),"")</f>
        <v>XLPE</v>
      </c>
      <c r="BG36" s="86" t="str">
        <f t="shared" ref="BG36:BG67" si="75">IFERROR(TRIM(LEFT(H36,FIND(" / ",H36)-1)),"")</f>
        <v>3C</v>
      </c>
      <c r="BH36" s="86" t="str">
        <f t="shared" ref="BH36:BH67" si="76">IFERROR(TRIM(MID(H36,FIND(" / ",H36)+3,FIND(" / ",H36,FIND(" / ",H36)+1)-FIND(" / ",H36)-3)),"")</f>
        <v>Al</v>
      </c>
      <c r="BI36" s="86" t="str">
        <f t="shared" ref="BI36:BI67" si="77">IFERROR(TRIM(MID(H36,FIND(" / ",H36,FIND(" / ",H36)+1)+3,FIND(" / ",H36,FIND(" / ",H36,FIND(" / ",H36)+1)+1)-FIND(" / ",H36,FIND(" / ",H36,FIND(" / ",H36)+1))-3)),"")</f>
        <v>XLPE</v>
      </c>
      <c r="BJ36" s="86" t="str">
        <f t="shared" ref="BJ36:BJ67" si="78">IFERROR(TRIM(RIGHT(H36,LEN(H36)-FIND(" / ",H36,FIND(" / ",H36,FIND(" / ",H36)+1)+1)-2)),"")</f>
        <v>Armoured</v>
      </c>
      <c r="BK36" s="86" t="str">
        <f t="shared" ref="BK36:BK67" si="79">G36</f>
        <v/>
      </c>
      <c r="BL36" s="86">
        <f>IFERROR(SUMIFS('Cable Data Master'!$K:$K,'Cable Data Master'!$A:$A,$BF36,'Cable Data Master'!$B:$B,$BG36,'Cable Data Master'!$C:$C,$BH36,'Cable Data Master'!$D:$D,$BI36,'Cable Data Master'!$E:$E,$BJ36,'Cable Data Master'!$F:$F,$BK36),"")</f>
        <v>0</v>
      </c>
      <c r="BM36" s="86">
        <f>IFERROR(SUMIFS('Cable Data Master'!$L:$L,'Cable Data Master'!$A:$A,$BF36,'Cable Data Master'!$B:$B,$BG36,'Cable Data Master'!$C:$C,$BH36,'Cable Data Master'!$D:$D,$BI36,'Cable Data Master'!$E:$E,$BJ36,'Cable Data Master'!$F:$F,$BK36),"")</f>
        <v>0</v>
      </c>
      <c r="BN36" s="86">
        <f>IFERROR(SUMIFS('Cable Data Master'!$G:$G,'Cable Data Master'!$A:$A,$BF36,'Cable Data Master'!$B:$B,$BG36,'Cable Data Master'!$C:$C,$BH36,'Cable Data Master'!$D:$D,$BI36,'Cable Data Master'!$E:$E,$BJ36,'Cable Data Master'!$F:$F,$BK36),"")</f>
        <v>0</v>
      </c>
      <c r="BO36" s="86">
        <f>IFERROR(SUMIFS('Cable Data Master'!$H:$H,'Cable Data Master'!$A:$A,$BF36,'Cable Data Master'!$B:$B,$BG36,'Cable Data Master'!$C:$C,$BH36,'Cable Data Master'!$D:$D,$BI36,'Cable Data Master'!$E:$E,$BJ36,'Cable Data Master'!$F:$F,$BK36),"")</f>
        <v>0</v>
      </c>
      <c r="BP36" s="86">
        <f>IFERROR(SUMIFS('Cable Data Master'!$I:$I,'Cable Data Master'!$A:$A,$BF36,'Cable Data Master'!$B:$B,$BG36,'Cable Data Master'!$C:$C,$BH36,'Cable Data Master'!$D:$D,$BI36,'Cable Data Master'!$E:$E,$BJ36,'Cable Data Master'!$F:$F,$BK36),"")</f>
        <v>0</v>
      </c>
      <c r="BQ36" s="86">
        <f>IFERROR(SUMIFS('Cable Data Master'!$J:$J,'Cable Data Master'!$A:$A,$BF36,'Cable Data Master'!$B:$B,$BG36,'Cable Data Master'!$C:$C,$BH36,'Cable Data Master'!$D:$D,$BI36,'Cable Data Master'!$E:$E,$BJ36,'Cable Data Master'!$F:$F,$BK36),"")</f>
        <v>0</v>
      </c>
      <c r="BR36" s="86"/>
    </row>
    <row r="37" spans="1:70" s="87" customFormat="1" ht="30" customHeight="1" x14ac:dyDescent="0.35">
      <c r="A37" s="72">
        <v>34</v>
      </c>
      <c r="B37" s="73"/>
      <c r="C37" s="73"/>
      <c r="D37" s="74">
        <v>4.5</v>
      </c>
      <c r="E37" s="74"/>
      <c r="F37" s="74" t="s">
        <v>132</v>
      </c>
      <c r="G37" s="72" t="str">
        <f>IF(OR(C37="",D37="",E37="",H37="",J37="",K37="",L37="",M37="",N37="",O37="",P37="",Q37="",R37="",S37=""),"",IFERROR(LOOKUP(2,1/(('AUTO ENGINE'!$A$2:$A$1201=ROW())*('AUTO ENGINE'!$M$2:$M$1201=1)),'AUTO ENGINE'!$B$2:$B$1201),"NO CABLE PASSES"))</f>
        <v/>
      </c>
      <c r="H37" s="73" t="s">
        <v>133</v>
      </c>
      <c r="I37" s="72">
        <f t="shared" si="42"/>
        <v>0</v>
      </c>
      <c r="J37" s="73">
        <v>1</v>
      </c>
      <c r="K37" s="73">
        <v>415</v>
      </c>
      <c r="L37" s="73">
        <v>0.53</v>
      </c>
      <c r="M37" s="73">
        <v>0.85</v>
      </c>
      <c r="N37" s="73">
        <v>0.95399999999999996</v>
      </c>
      <c r="O37" s="73"/>
      <c r="P37" s="73">
        <v>1.5</v>
      </c>
      <c r="Q37" s="73">
        <v>0.3</v>
      </c>
      <c r="R37" s="72">
        <f t="shared" si="43"/>
        <v>0</v>
      </c>
      <c r="S37" s="73">
        <v>0.2</v>
      </c>
      <c r="T37" s="72">
        <f t="shared" si="44"/>
        <v>0</v>
      </c>
      <c r="U37" s="72">
        <f t="shared" si="40"/>
        <v>0</v>
      </c>
      <c r="V37" s="72">
        <f t="shared" si="45"/>
        <v>0</v>
      </c>
      <c r="W37" s="72">
        <f t="shared" si="46"/>
        <v>0</v>
      </c>
      <c r="X37" s="72">
        <f t="shared" si="47"/>
        <v>0</v>
      </c>
      <c r="Y37" s="72">
        <f t="shared" si="48"/>
        <v>0</v>
      </c>
      <c r="Z37" s="72" t="str">
        <f t="shared" si="49"/>
        <v>PASS</v>
      </c>
      <c r="AA37" s="72">
        <f t="shared" si="50"/>
        <v>0</v>
      </c>
      <c r="AB37" s="72">
        <f t="shared" si="51"/>
        <v>0.95393920141694566</v>
      </c>
      <c r="AC37" s="72">
        <f t="shared" si="52"/>
        <v>0</v>
      </c>
      <c r="AD37" s="72">
        <f t="shared" si="53"/>
        <v>0</v>
      </c>
      <c r="AE37" s="72">
        <f t="shared" si="54"/>
        <v>0</v>
      </c>
      <c r="AF37" s="72" t="str">
        <f>IF(OR(AE37="",AD37=""),"",IF(AE37&lt;='OS-DORAEN'!$B$6,"PASS","FAIL"))</f>
        <v>PASS</v>
      </c>
      <c r="AG37" s="72">
        <f t="shared" si="55"/>
        <v>0.52678268764263703</v>
      </c>
      <c r="AH37" s="72">
        <f t="shared" si="56"/>
        <v>0</v>
      </c>
      <c r="AI37" s="72">
        <f t="shared" si="57"/>
        <v>0</v>
      </c>
      <c r="AJ37" s="72">
        <f t="shared" si="58"/>
        <v>0</v>
      </c>
      <c r="AK37" s="72" t="str">
        <f>IF(OR(AJ37="",AI37=""),"",IF(AJ37&lt;='OS-DORAEN'!$B$5,"PASS","FAIL"))</f>
        <v>PASS</v>
      </c>
      <c r="AL37" s="72" t="str">
        <f t="shared" si="59"/>
        <v/>
      </c>
      <c r="AM37" s="72" t="str">
        <f t="shared" si="60"/>
        <v/>
      </c>
      <c r="AN37" s="72" t="str">
        <f t="shared" si="61"/>
        <v/>
      </c>
      <c r="AO37" s="72" t="str">
        <f t="shared" si="62"/>
        <v>PASS</v>
      </c>
      <c r="AP37" s="72" t="str">
        <f t="shared" si="63"/>
        <v/>
      </c>
      <c r="AQ37" s="72" t="str">
        <f t="shared" si="64"/>
        <v/>
      </c>
      <c r="AR37" s="72" t="str">
        <f t="shared" si="41"/>
        <v/>
      </c>
      <c r="AS37" s="72">
        <f t="shared" si="65"/>
        <v>0</v>
      </c>
      <c r="AT37" s="72">
        <f>IF(AS37="","",IF(AS37&lt;=Lists!$J$2,Lists!$J$2,IFERROR(INDEX(Lists!$J$2:$J$28,IF(INDEX(Lists!$J$2:$J$28,MATCH(AS37,Lists!$J$2:$J$28,1))=AS37,MATCH(AS37,Lists!$J$2:$J$28,1),MATCH(AS37,Lists!$J$2:$J$28,1)+1)),"NO STANDARD CB")))</f>
        <v>16</v>
      </c>
      <c r="AU37" s="72" t="str">
        <f t="shared" si="66"/>
        <v>Manufacturer-specific adjustable trip unit</v>
      </c>
      <c r="AV37" s="72">
        <f t="shared" si="67"/>
        <v>0</v>
      </c>
      <c r="AW37" s="72" t="str">
        <f t="shared" si="68"/>
        <v>Verify manufacturer instantaneous/magnetic pickup</v>
      </c>
      <c r="AX37" s="72" t="str">
        <f t="shared" si="69"/>
        <v>VERIFY MANUFACTURER</v>
      </c>
      <c r="AY37" s="72" t="str">
        <f t="shared" si="70"/>
        <v>PASS</v>
      </c>
      <c r="AZ37" s="72" t="str">
        <f t="shared" si="71"/>
        <v>16 A MCCB; target Ir 0.0 A; manufacturer trip-unit verification required</v>
      </c>
      <c r="BA37" s="73"/>
      <c r="BB37" s="72" t="str">
        <f t="shared" si="72"/>
        <v>ENTER CB Icu/Ics</v>
      </c>
      <c r="BC37" s="72" t="str">
        <f t="shared" si="73"/>
        <v>Enter manufacturer CB Icu/Ics. Required ≥ 0.00 kA</v>
      </c>
      <c r="BD37" s="72" t="str">
        <f>IF(OR(AS37="",AT37="",AV37=""),"",IF(AND(AT37&gt;=AS37,COUNTIF(Lists!$J$2:$J$28,AT37)&gt;0,AV37&gt;=AS37,AV37&lt;=AT37),"PASS","FAIL - REVIEW MCCB FRAME/TRIP UNIT"))</f>
        <v>PASS</v>
      </c>
      <c r="BE37" s="86"/>
      <c r="BF37" s="86" t="str">
        <f t="shared" si="74"/>
        <v>XLPE</v>
      </c>
      <c r="BG37" s="86" t="str">
        <f t="shared" si="75"/>
        <v>3C</v>
      </c>
      <c r="BH37" s="86" t="str">
        <f t="shared" si="76"/>
        <v>Al</v>
      </c>
      <c r="BI37" s="86" t="str">
        <f t="shared" si="77"/>
        <v>XLPE</v>
      </c>
      <c r="BJ37" s="86" t="str">
        <f t="shared" si="78"/>
        <v>Armoured</v>
      </c>
      <c r="BK37" s="86" t="str">
        <f t="shared" si="79"/>
        <v/>
      </c>
      <c r="BL37" s="86">
        <f>IFERROR(SUMIFS('Cable Data Master'!$K:$K,'Cable Data Master'!$A:$A,$BF37,'Cable Data Master'!$B:$B,$BG37,'Cable Data Master'!$C:$C,$BH37,'Cable Data Master'!$D:$D,$BI37,'Cable Data Master'!$E:$E,$BJ37,'Cable Data Master'!$F:$F,$BK37),"")</f>
        <v>0</v>
      </c>
      <c r="BM37" s="86">
        <f>IFERROR(SUMIFS('Cable Data Master'!$L:$L,'Cable Data Master'!$A:$A,$BF37,'Cable Data Master'!$B:$B,$BG37,'Cable Data Master'!$C:$C,$BH37,'Cable Data Master'!$D:$D,$BI37,'Cable Data Master'!$E:$E,$BJ37,'Cable Data Master'!$F:$F,$BK37),"")</f>
        <v>0</v>
      </c>
      <c r="BN37" s="86">
        <f>IFERROR(SUMIFS('Cable Data Master'!$G:$G,'Cable Data Master'!$A:$A,$BF37,'Cable Data Master'!$B:$B,$BG37,'Cable Data Master'!$C:$C,$BH37,'Cable Data Master'!$D:$D,$BI37,'Cable Data Master'!$E:$E,$BJ37,'Cable Data Master'!$F:$F,$BK37),"")</f>
        <v>0</v>
      </c>
      <c r="BO37" s="86">
        <f>IFERROR(SUMIFS('Cable Data Master'!$H:$H,'Cable Data Master'!$A:$A,$BF37,'Cable Data Master'!$B:$B,$BG37,'Cable Data Master'!$C:$C,$BH37,'Cable Data Master'!$D:$D,$BI37,'Cable Data Master'!$E:$E,$BJ37,'Cable Data Master'!$F:$F,$BK37),"")</f>
        <v>0</v>
      </c>
      <c r="BP37" s="86">
        <f>IFERROR(SUMIFS('Cable Data Master'!$I:$I,'Cable Data Master'!$A:$A,$BF37,'Cable Data Master'!$B:$B,$BG37,'Cable Data Master'!$C:$C,$BH37,'Cable Data Master'!$D:$D,$BI37,'Cable Data Master'!$E:$E,$BJ37,'Cable Data Master'!$F:$F,$BK37),"")</f>
        <v>0</v>
      </c>
      <c r="BQ37" s="86">
        <f>IFERROR(SUMIFS('Cable Data Master'!$J:$J,'Cable Data Master'!$A:$A,$BF37,'Cable Data Master'!$B:$B,$BG37,'Cable Data Master'!$C:$C,$BH37,'Cable Data Master'!$D:$D,$BI37,'Cable Data Master'!$E:$E,$BJ37,'Cable Data Master'!$F:$F,$BK37),"")</f>
        <v>0</v>
      </c>
      <c r="BR37" s="86"/>
    </row>
    <row r="38" spans="1:70" s="87" customFormat="1" ht="30" customHeight="1" x14ac:dyDescent="0.35">
      <c r="A38" s="72">
        <v>35</v>
      </c>
      <c r="B38" s="73"/>
      <c r="C38" s="73"/>
      <c r="D38" s="74">
        <v>4.5</v>
      </c>
      <c r="E38" s="74"/>
      <c r="F38" s="74" t="s">
        <v>132</v>
      </c>
      <c r="G38" s="72" t="str">
        <f>IF(OR(C38="",D38="",E38="",H38="",J38="",K38="",L38="",M38="",N38="",O38="",P38="",Q38="",R38="",S38=""),"",IFERROR(LOOKUP(2,1/(('AUTO ENGINE'!$A$2:$A$1201=ROW())*('AUTO ENGINE'!$M$2:$M$1201=1)),'AUTO ENGINE'!$B$2:$B$1201),"NO CABLE PASSES"))</f>
        <v/>
      </c>
      <c r="H38" s="73" t="s">
        <v>133</v>
      </c>
      <c r="I38" s="72">
        <f t="shared" si="42"/>
        <v>0</v>
      </c>
      <c r="J38" s="73">
        <v>1</v>
      </c>
      <c r="K38" s="73">
        <v>415</v>
      </c>
      <c r="L38" s="73">
        <v>0.53</v>
      </c>
      <c r="M38" s="73">
        <v>0.85</v>
      </c>
      <c r="N38" s="73">
        <v>0.95399999999999996</v>
      </c>
      <c r="O38" s="73"/>
      <c r="P38" s="73">
        <v>1.5</v>
      </c>
      <c r="Q38" s="73">
        <v>0.3</v>
      </c>
      <c r="R38" s="72">
        <f t="shared" si="43"/>
        <v>0</v>
      </c>
      <c r="S38" s="73">
        <v>0.2</v>
      </c>
      <c r="T38" s="72">
        <f t="shared" si="44"/>
        <v>0</v>
      </c>
      <c r="U38" s="72">
        <f t="shared" si="40"/>
        <v>0</v>
      </c>
      <c r="V38" s="72">
        <f t="shared" si="45"/>
        <v>0</v>
      </c>
      <c r="W38" s="72">
        <f t="shared" si="46"/>
        <v>0</v>
      </c>
      <c r="X38" s="72">
        <f t="shared" si="47"/>
        <v>0</v>
      </c>
      <c r="Y38" s="72">
        <f t="shared" si="48"/>
        <v>0</v>
      </c>
      <c r="Z38" s="72" t="str">
        <f t="shared" si="49"/>
        <v>PASS</v>
      </c>
      <c r="AA38" s="72">
        <f t="shared" si="50"/>
        <v>0</v>
      </c>
      <c r="AB38" s="72">
        <f t="shared" si="51"/>
        <v>0.95393920141694566</v>
      </c>
      <c r="AC38" s="72">
        <f t="shared" si="52"/>
        <v>0</v>
      </c>
      <c r="AD38" s="72">
        <f t="shared" si="53"/>
        <v>0</v>
      </c>
      <c r="AE38" s="72">
        <f t="shared" si="54"/>
        <v>0</v>
      </c>
      <c r="AF38" s="72" t="str">
        <f>IF(OR(AE38="",AD38=""),"",IF(AE38&lt;='OS-DORAEN'!$B$6,"PASS","FAIL"))</f>
        <v>PASS</v>
      </c>
      <c r="AG38" s="72">
        <f t="shared" si="55"/>
        <v>0.52678268764263703</v>
      </c>
      <c r="AH38" s="72">
        <f t="shared" si="56"/>
        <v>0</v>
      </c>
      <c r="AI38" s="72">
        <f t="shared" si="57"/>
        <v>0</v>
      </c>
      <c r="AJ38" s="72">
        <f t="shared" si="58"/>
        <v>0</v>
      </c>
      <c r="AK38" s="72" t="str">
        <f>IF(OR(AJ38="",AI38=""),"",IF(AJ38&lt;='OS-DORAEN'!$B$5,"PASS","FAIL"))</f>
        <v>PASS</v>
      </c>
      <c r="AL38" s="72" t="str">
        <f t="shared" si="59"/>
        <v/>
      </c>
      <c r="AM38" s="72" t="str">
        <f t="shared" si="60"/>
        <v/>
      </c>
      <c r="AN38" s="72" t="str">
        <f t="shared" si="61"/>
        <v/>
      </c>
      <c r="AO38" s="72" t="str">
        <f t="shared" si="62"/>
        <v>PASS</v>
      </c>
      <c r="AP38" s="72" t="str">
        <f t="shared" si="63"/>
        <v/>
      </c>
      <c r="AQ38" s="72" t="str">
        <f t="shared" si="64"/>
        <v/>
      </c>
      <c r="AR38" s="72" t="str">
        <f t="shared" si="41"/>
        <v/>
      </c>
      <c r="AS38" s="72">
        <f t="shared" si="65"/>
        <v>0</v>
      </c>
      <c r="AT38" s="72">
        <f>IF(AS38="","",IF(AS38&lt;=Lists!$J$2,Lists!$J$2,IFERROR(INDEX(Lists!$J$2:$J$28,IF(INDEX(Lists!$J$2:$J$28,MATCH(AS38,Lists!$J$2:$J$28,1))=AS38,MATCH(AS38,Lists!$J$2:$J$28,1),MATCH(AS38,Lists!$J$2:$J$28,1)+1)),"NO STANDARD CB")))</f>
        <v>16</v>
      </c>
      <c r="AU38" s="72" t="str">
        <f t="shared" si="66"/>
        <v>Manufacturer-specific adjustable trip unit</v>
      </c>
      <c r="AV38" s="72">
        <f t="shared" si="67"/>
        <v>0</v>
      </c>
      <c r="AW38" s="72" t="str">
        <f t="shared" si="68"/>
        <v>Verify manufacturer instantaneous/magnetic pickup</v>
      </c>
      <c r="AX38" s="72" t="str">
        <f t="shared" si="69"/>
        <v>VERIFY MANUFACTURER</v>
      </c>
      <c r="AY38" s="72" t="str">
        <f t="shared" si="70"/>
        <v>PASS</v>
      </c>
      <c r="AZ38" s="72" t="str">
        <f t="shared" si="71"/>
        <v>16 A MCCB; target Ir 0.0 A; manufacturer trip-unit verification required</v>
      </c>
      <c r="BA38" s="73"/>
      <c r="BB38" s="72" t="str">
        <f t="shared" si="72"/>
        <v>ENTER CB Icu/Ics</v>
      </c>
      <c r="BC38" s="72" t="str">
        <f t="shared" si="73"/>
        <v>Enter manufacturer CB Icu/Ics. Required ≥ 0.00 kA</v>
      </c>
      <c r="BD38" s="72" t="str">
        <f>IF(OR(AS38="",AT38="",AV38=""),"",IF(AND(AT38&gt;=AS38,COUNTIF(Lists!$J$2:$J$28,AT38)&gt;0,AV38&gt;=AS38,AV38&lt;=AT38),"PASS","FAIL - REVIEW MCCB FRAME/TRIP UNIT"))</f>
        <v>PASS</v>
      </c>
      <c r="BE38" s="86"/>
      <c r="BF38" s="86" t="str">
        <f t="shared" si="74"/>
        <v>XLPE</v>
      </c>
      <c r="BG38" s="86" t="str">
        <f t="shared" si="75"/>
        <v>3C</v>
      </c>
      <c r="BH38" s="86" t="str">
        <f t="shared" si="76"/>
        <v>Al</v>
      </c>
      <c r="BI38" s="86" t="str">
        <f t="shared" si="77"/>
        <v>XLPE</v>
      </c>
      <c r="BJ38" s="86" t="str">
        <f t="shared" si="78"/>
        <v>Armoured</v>
      </c>
      <c r="BK38" s="86" t="str">
        <f t="shared" si="79"/>
        <v/>
      </c>
      <c r="BL38" s="86">
        <f>IFERROR(SUMIFS('Cable Data Master'!$K:$K,'Cable Data Master'!$A:$A,$BF38,'Cable Data Master'!$B:$B,$BG38,'Cable Data Master'!$C:$C,$BH38,'Cable Data Master'!$D:$D,$BI38,'Cable Data Master'!$E:$E,$BJ38,'Cable Data Master'!$F:$F,$BK38),"")</f>
        <v>0</v>
      </c>
      <c r="BM38" s="86">
        <f>IFERROR(SUMIFS('Cable Data Master'!$L:$L,'Cable Data Master'!$A:$A,$BF38,'Cable Data Master'!$B:$B,$BG38,'Cable Data Master'!$C:$C,$BH38,'Cable Data Master'!$D:$D,$BI38,'Cable Data Master'!$E:$E,$BJ38,'Cable Data Master'!$F:$F,$BK38),"")</f>
        <v>0</v>
      </c>
      <c r="BN38" s="86">
        <f>IFERROR(SUMIFS('Cable Data Master'!$G:$G,'Cable Data Master'!$A:$A,$BF38,'Cable Data Master'!$B:$B,$BG38,'Cable Data Master'!$C:$C,$BH38,'Cable Data Master'!$D:$D,$BI38,'Cable Data Master'!$E:$E,$BJ38,'Cable Data Master'!$F:$F,$BK38),"")</f>
        <v>0</v>
      </c>
      <c r="BO38" s="86">
        <f>IFERROR(SUMIFS('Cable Data Master'!$H:$H,'Cable Data Master'!$A:$A,$BF38,'Cable Data Master'!$B:$B,$BG38,'Cable Data Master'!$C:$C,$BH38,'Cable Data Master'!$D:$D,$BI38,'Cable Data Master'!$E:$E,$BJ38,'Cable Data Master'!$F:$F,$BK38),"")</f>
        <v>0</v>
      </c>
      <c r="BP38" s="86">
        <f>IFERROR(SUMIFS('Cable Data Master'!$I:$I,'Cable Data Master'!$A:$A,$BF38,'Cable Data Master'!$B:$B,$BG38,'Cable Data Master'!$C:$C,$BH38,'Cable Data Master'!$D:$D,$BI38,'Cable Data Master'!$E:$E,$BJ38,'Cable Data Master'!$F:$F,$BK38),"")</f>
        <v>0</v>
      </c>
      <c r="BQ38" s="86">
        <f>IFERROR(SUMIFS('Cable Data Master'!$J:$J,'Cable Data Master'!$A:$A,$BF38,'Cable Data Master'!$B:$B,$BG38,'Cable Data Master'!$C:$C,$BH38,'Cable Data Master'!$D:$D,$BI38,'Cable Data Master'!$E:$E,$BJ38,'Cable Data Master'!$F:$F,$BK38),"")</f>
        <v>0</v>
      </c>
      <c r="BR38" s="86"/>
    </row>
    <row r="39" spans="1:70" s="87" customFormat="1" ht="30" customHeight="1" x14ac:dyDescent="0.35">
      <c r="A39" s="72">
        <v>36</v>
      </c>
      <c r="B39" s="73"/>
      <c r="C39" s="73"/>
      <c r="D39" s="74">
        <v>4.5</v>
      </c>
      <c r="E39" s="74"/>
      <c r="F39" s="74" t="s">
        <v>132</v>
      </c>
      <c r="G39" s="72" t="str">
        <f>IF(OR(C39="",D39="",E39="",H39="",J39="",K39="",L39="",M39="",N39="",O39="",P39="",Q39="",R39="",S39=""),"",IFERROR(LOOKUP(2,1/(('AUTO ENGINE'!$A$2:$A$1201=ROW())*('AUTO ENGINE'!$M$2:$M$1201=1)),'AUTO ENGINE'!$B$2:$B$1201),"NO CABLE PASSES"))</f>
        <v/>
      </c>
      <c r="H39" s="73" t="s">
        <v>133</v>
      </c>
      <c r="I39" s="72">
        <f t="shared" si="42"/>
        <v>0</v>
      </c>
      <c r="J39" s="73">
        <v>1</v>
      </c>
      <c r="K39" s="73">
        <v>415</v>
      </c>
      <c r="L39" s="73">
        <v>0.53</v>
      </c>
      <c r="M39" s="73">
        <v>0.85</v>
      </c>
      <c r="N39" s="73">
        <v>0.95399999999999996</v>
      </c>
      <c r="O39" s="73"/>
      <c r="P39" s="73">
        <v>1.5</v>
      </c>
      <c r="Q39" s="73">
        <v>0.3</v>
      </c>
      <c r="R39" s="72">
        <f t="shared" si="43"/>
        <v>0</v>
      </c>
      <c r="S39" s="73">
        <v>0.2</v>
      </c>
      <c r="T39" s="72">
        <f t="shared" si="44"/>
        <v>0</v>
      </c>
      <c r="U39" s="72">
        <f t="shared" si="40"/>
        <v>0</v>
      </c>
      <c r="V39" s="72">
        <f t="shared" si="45"/>
        <v>0</v>
      </c>
      <c r="W39" s="72">
        <f t="shared" si="46"/>
        <v>0</v>
      </c>
      <c r="X39" s="72">
        <f t="shared" si="47"/>
        <v>0</v>
      </c>
      <c r="Y39" s="72">
        <f t="shared" si="48"/>
        <v>0</v>
      </c>
      <c r="Z39" s="72" t="str">
        <f t="shared" si="49"/>
        <v>PASS</v>
      </c>
      <c r="AA39" s="72">
        <f t="shared" si="50"/>
        <v>0</v>
      </c>
      <c r="AB39" s="72">
        <f t="shared" si="51"/>
        <v>0.95393920141694566</v>
      </c>
      <c r="AC39" s="72">
        <f t="shared" si="52"/>
        <v>0</v>
      </c>
      <c r="AD39" s="72">
        <f t="shared" si="53"/>
        <v>0</v>
      </c>
      <c r="AE39" s="72">
        <f t="shared" si="54"/>
        <v>0</v>
      </c>
      <c r="AF39" s="72" t="str">
        <f>IF(OR(AE39="",AD39=""),"",IF(AE39&lt;='OS-DORAEN'!$B$6,"PASS","FAIL"))</f>
        <v>PASS</v>
      </c>
      <c r="AG39" s="72">
        <f t="shared" si="55"/>
        <v>0.52678268764263703</v>
      </c>
      <c r="AH39" s="72">
        <f t="shared" si="56"/>
        <v>0</v>
      </c>
      <c r="AI39" s="72">
        <f t="shared" si="57"/>
        <v>0</v>
      </c>
      <c r="AJ39" s="72">
        <f t="shared" si="58"/>
        <v>0</v>
      </c>
      <c r="AK39" s="72" t="str">
        <f>IF(OR(AJ39="",AI39=""),"",IF(AJ39&lt;='OS-DORAEN'!$B$5,"PASS","FAIL"))</f>
        <v>PASS</v>
      </c>
      <c r="AL39" s="72" t="str">
        <f t="shared" si="59"/>
        <v/>
      </c>
      <c r="AM39" s="72" t="str">
        <f t="shared" si="60"/>
        <v/>
      </c>
      <c r="AN39" s="72" t="str">
        <f t="shared" si="61"/>
        <v/>
      </c>
      <c r="AO39" s="72" t="str">
        <f t="shared" si="62"/>
        <v>PASS</v>
      </c>
      <c r="AP39" s="72" t="str">
        <f t="shared" si="63"/>
        <v/>
      </c>
      <c r="AQ39" s="72" t="str">
        <f t="shared" si="64"/>
        <v/>
      </c>
      <c r="AR39" s="72" t="str">
        <f t="shared" si="41"/>
        <v/>
      </c>
      <c r="AS39" s="72">
        <f t="shared" si="65"/>
        <v>0</v>
      </c>
      <c r="AT39" s="72">
        <f>IF(AS39="","",IF(AS39&lt;=Lists!$J$2,Lists!$J$2,IFERROR(INDEX(Lists!$J$2:$J$28,IF(INDEX(Lists!$J$2:$J$28,MATCH(AS39,Lists!$J$2:$J$28,1))=AS39,MATCH(AS39,Lists!$J$2:$J$28,1),MATCH(AS39,Lists!$J$2:$J$28,1)+1)),"NO STANDARD CB")))</f>
        <v>16</v>
      </c>
      <c r="AU39" s="72" t="str">
        <f t="shared" si="66"/>
        <v>Manufacturer-specific adjustable trip unit</v>
      </c>
      <c r="AV39" s="72">
        <f t="shared" si="67"/>
        <v>0</v>
      </c>
      <c r="AW39" s="72" t="str">
        <f t="shared" si="68"/>
        <v>Verify manufacturer instantaneous/magnetic pickup</v>
      </c>
      <c r="AX39" s="72" t="str">
        <f t="shared" si="69"/>
        <v>VERIFY MANUFACTURER</v>
      </c>
      <c r="AY39" s="72" t="str">
        <f t="shared" si="70"/>
        <v>PASS</v>
      </c>
      <c r="AZ39" s="72" t="str">
        <f t="shared" si="71"/>
        <v>16 A MCCB; target Ir 0.0 A; manufacturer trip-unit verification required</v>
      </c>
      <c r="BA39" s="73"/>
      <c r="BB39" s="72" t="str">
        <f t="shared" si="72"/>
        <v>ENTER CB Icu/Ics</v>
      </c>
      <c r="BC39" s="72" t="str">
        <f t="shared" si="73"/>
        <v>Enter manufacturer CB Icu/Ics. Required ≥ 0.00 kA</v>
      </c>
      <c r="BD39" s="72" t="str">
        <f>IF(OR(AS39="",AT39="",AV39=""),"",IF(AND(AT39&gt;=AS39,COUNTIF(Lists!$J$2:$J$28,AT39)&gt;0,AV39&gt;=AS39,AV39&lt;=AT39),"PASS","FAIL - REVIEW MCCB FRAME/TRIP UNIT"))</f>
        <v>PASS</v>
      </c>
      <c r="BE39" s="86"/>
      <c r="BF39" s="86" t="str">
        <f t="shared" si="74"/>
        <v>XLPE</v>
      </c>
      <c r="BG39" s="86" t="str">
        <f t="shared" si="75"/>
        <v>3C</v>
      </c>
      <c r="BH39" s="86" t="str">
        <f t="shared" si="76"/>
        <v>Al</v>
      </c>
      <c r="BI39" s="86" t="str">
        <f t="shared" si="77"/>
        <v>XLPE</v>
      </c>
      <c r="BJ39" s="86" t="str">
        <f t="shared" si="78"/>
        <v>Armoured</v>
      </c>
      <c r="BK39" s="86" t="str">
        <f t="shared" si="79"/>
        <v/>
      </c>
      <c r="BL39" s="86">
        <f>IFERROR(SUMIFS('Cable Data Master'!$K:$K,'Cable Data Master'!$A:$A,$BF39,'Cable Data Master'!$B:$B,$BG39,'Cable Data Master'!$C:$C,$BH39,'Cable Data Master'!$D:$D,$BI39,'Cable Data Master'!$E:$E,$BJ39,'Cable Data Master'!$F:$F,$BK39),"")</f>
        <v>0</v>
      </c>
      <c r="BM39" s="86">
        <f>IFERROR(SUMIFS('Cable Data Master'!$L:$L,'Cable Data Master'!$A:$A,$BF39,'Cable Data Master'!$B:$B,$BG39,'Cable Data Master'!$C:$C,$BH39,'Cable Data Master'!$D:$D,$BI39,'Cable Data Master'!$E:$E,$BJ39,'Cable Data Master'!$F:$F,$BK39),"")</f>
        <v>0</v>
      </c>
      <c r="BN39" s="86">
        <f>IFERROR(SUMIFS('Cable Data Master'!$G:$G,'Cable Data Master'!$A:$A,$BF39,'Cable Data Master'!$B:$B,$BG39,'Cable Data Master'!$C:$C,$BH39,'Cable Data Master'!$D:$D,$BI39,'Cable Data Master'!$E:$E,$BJ39,'Cable Data Master'!$F:$F,$BK39),"")</f>
        <v>0</v>
      </c>
      <c r="BO39" s="86">
        <f>IFERROR(SUMIFS('Cable Data Master'!$H:$H,'Cable Data Master'!$A:$A,$BF39,'Cable Data Master'!$B:$B,$BG39,'Cable Data Master'!$C:$C,$BH39,'Cable Data Master'!$D:$D,$BI39,'Cable Data Master'!$E:$E,$BJ39,'Cable Data Master'!$F:$F,$BK39),"")</f>
        <v>0</v>
      </c>
      <c r="BP39" s="86">
        <f>IFERROR(SUMIFS('Cable Data Master'!$I:$I,'Cable Data Master'!$A:$A,$BF39,'Cable Data Master'!$B:$B,$BG39,'Cable Data Master'!$C:$C,$BH39,'Cable Data Master'!$D:$D,$BI39,'Cable Data Master'!$E:$E,$BJ39,'Cable Data Master'!$F:$F,$BK39),"")</f>
        <v>0</v>
      </c>
      <c r="BQ39" s="86">
        <f>IFERROR(SUMIFS('Cable Data Master'!$J:$J,'Cable Data Master'!$A:$A,$BF39,'Cable Data Master'!$B:$B,$BG39,'Cable Data Master'!$C:$C,$BH39,'Cable Data Master'!$D:$D,$BI39,'Cable Data Master'!$E:$E,$BJ39,'Cable Data Master'!$F:$F,$BK39),"")</f>
        <v>0</v>
      </c>
      <c r="BR39" s="86"/>
    </row>
    <row r="40" spans="1:70" s="87" customFormat="1" ht="30" customHeight="1" x14ac:dyDescent="0.35">
      <c r="A40" s="72">
        <v>37</v>
      </c>
      <c r="B40" s="73"/>
      <c r="C40" s="73"/>
      <c r="D40" s="74">
        <v>4.5</v>
      </c>
      <c r="E40" s="74"/>
      <c r="F40" s="74" t="s">
        <v>132</v>
      </c>
      <c r="G40" s="72" t="str">
        <f>IF(OR(C40="",D40="",E40="",H40="",J40="",K40="",L40="",M40="",N40="",O40="",P40="",Q40="",R40="",S40=""),"",IFERROR(LOOKUP(2,1/(('AUTO ENGINE'!$A$2:$A$1201=ROW())*('AUTO ENGINE'!$M$2:$M$1201=1)),'AUTO ENGINE'!$B$2:$B$1201),"NO CABLE PASSES"))</f>
        <v/>
      </c>
      <c r="H40" s="73" t="s">
        <v>133</v>
      </c>
      <c r="I40" s="72">
        <f t="shared" si="42"/>
        <v>0</v>
      </c>
      <c r="J40" s="73">
        <v>1</v>
      </c>
      <c r="K40" s="73">
        <v>415</v>
      </c>
      <c r="L40" s="73">
        <v>0.53</v>
      </c>
      <c r="M40" s="73">
        <v>0.85</v>
      </c>
      <c r="N40" s="73">
        <v>0.95399999999999996</v>
      </c>
      <c r="O40" s="73"/>
      <c r="P40" s="73">
        <v>1.5</v>
      </c>
      <c r="Q40" s="73">
        <v>0.3</v>
      </c>
      <c r="R40" s="72">
        <f t="shared" si="43"/>
        <v>0</v>
      </c>
      <c r="S40" s="73">
        <v>0.2</v>
      </c>
      <c r="T40" s="72">
        <f t="shared" si="44"/>
        <v>0</v>
      </c>
      <c r="U40" s="72">
        <f t="shared" si="40"/>
        <v>0</v>
      </c>
      <c r="V40" s="72">
        <f t="shared" si="45"/>
        <v>0</v>
      </c>
      <c r="W40" s="72">
        <f t="shared" si="46"/>
        <v>0</v>
      </c>
      <c r="X40" s="72">
        <f t="shared" si="47"/>
        <v>0</v>
      </c>
      <c r="Y40" s="72">
        <f t="shared" si="48"/>
        <v>0</v>
      </c>
      <c r="Z40" s="72" t="str">
        <f t="shared" si="49"/>
        <v>PASS</v>
      </c>
      <c r="AA40" s="72">
        <f t="shared" si="50"/>
        <v>0</v>
      </c>
      <c r="AB40" s="72">
        <f t="shared" si="51"/>
        <v>0.95393920141694566</v>
      </c>
      <c r="AC40" s="72">
        <f t="shared" si="52"/>
        <v>0</v>
      </c>
      <c r="AD40" s="72">
        <f t="shared" si="53"/>
        <v>0</v>
      </c>
      <c r="AE40" s="72">
        <f t="shared" si="54"/>
        <v>0</v>
      </c>
      <c r="AF40" s="72" t="str">
        <f>IF(OR(AE40="",AD40=""),"",IF(AE40&lt;='OS-DORAEN'!$B$6,"PASS","FAIL"))</f>
        <v>PASS</v>
      </c>
      <c r="AG40" s="72">
        <f t="shared" si="55"/>
        <v>0.52678268764263703</v>
      </c>
      <c r="AH40" s="72">
        <f t="shared" si="56"/>
        <v>0</v>
      </c>
      <c r="AI40" s="72">
        <f t="shared" si="57"/>
        <v>0</v>
      </c>
      <c r="AJ40" s="72">
        <f t="shared" si="58"/>
        <v>0</v>
      </c>
      <c r="AK40" s="72" t="str">
        <f>IF(OR(AJ40="",AI40=""),"",IF(AJ40&lt;='OS-DORAEN'!$B$5,"PASS","FAIL"))</f>
        <v>PASS</v>
      </c>
      <c r="AL40" s="72" t="str">
        <f t="shared" si="59"/>
        <v/>
      </c>
      <c r="AM40" s="72" t="str">
        <f t="shared" si="60"/>
        <v/>
      </c>
      <c r="AN40" s="72" t="str">
        <f t="shared" si="61"/>
        <v/>
      </c>
      <c r="AO40" s="72" t="str">
        <f t="shared" si="62"/>
        <v>PASS</v>
      </c>
      <c r="AP40" s="72" t="str">
        <f t="shared" si="63"/>
        <v/>
      </c>
      <c r="AQ40" s="72" t="str">
        <f t="shared" si="64"/>
        <v/>
      </c>
      <c r="AR40" s="72" t="str">
        <f t="shared" si="41"/>
        <v/>
      </c>
      <c r="AS40" s="72">
        <f t="shared" si="65"/>
        <v>0</v>
      </c>
      <c r="AT40" s="72">
        <f>IF(AS40="","",IF(AS40&lt;=Lists!$J$2,Lists!$J$2,IFERROR(INDEX(Lists!$J$2:$J$28,IF(INDEX(Lists!$J$2:$J$28,MATCH(AS40,Lists!$J$2:$J$28,1))=AS40,MATCH(AS40,Lists!$J$2:$J$28,1),MATCH(AS40,Lists!$J$2:$J$28,1)+1)),"NO STANDARD CB")))</f>
        <v>16</v>
      </c>
      <c r="AU40" s="72" t="str">
        <f t="shared" si="66"/>
        <v>Manufacturer-specific adjustable trip unit</v>
      </c>
      <c r="AV40" s="72">
        <f t="shared" si="67"/>
        <v>0</v>
      </c>
      <c r="AW40" s="72" t="str">
        <f t="shared" si="68"/>
        <v>Verify manufacturer instantaneous/magnetic pickup</v>
      </c>
      <c r="AX40" s="72" t="str">
        <f t="shared" si="69"/>
        <v>VERIFY MANUFACTURER</v>
      </c>
      <c r="AY40" s="72" t="str">
        <f t="shared" si="70"/>
        <v>PASS</v>
      </c>
      <c r="AZ40" s="72" t="str">
        <f t="shared" si="71"/>
        <v>16 A MCCB; target Ir 0.0 A; manufacturer trip-unit verification required</v>
      </c>
      <c r="BA40" s="73"/>
      <c r="BB40" s="72" t="str">
        <f t="shared" si="72"/>
        <v>ENTER CB Icu/Ics</v>
      </c>
      <c r="BC40" s="72" t="str">
        <f t="shared" si="73"/>
        <v>Enter manufacturer CB Icu/Ics. Required ≥ 0.00 kA</v>
      </c>
      <c r="BD40" s="72" t="str">
        <f>IF(OR(AS40="",AT40="",AV40=""),"",IF(AND(AT40&gt;=AS40,COUNTIF(Lists!$J$2:$J$28,AT40)&gt;0,AV40&gt;=AS40,AV40&lt;=AT40),"PASS","FAIL - REVIEW MCCB FRAME/TRIP UNIT"))</f>
        <v>PASS</v>
      </c>
      <c r="BE40" s="86"/>
      <c r="BF40" s="86" t="str">
        <f t="shared" si="74"/>
        <v>XLPE</v>
      </c>
      <c r="BG40" s="86" t="str">
        <f t="shared" si="75"/>
        <v>3C</v>
      </c>
      <c r="BH40" s="86" t="str">
        <f t="shared" si="76"/>
        <v>Al</v>
      </c>
      <c r="BI40" s="86" t="str">
        <f t="shared" si="77"/>
        <v>XLPE</v>
      </c>
      <c r="BJ40" s="86" t="str">
        <f t="shared" si="78"/>
        <v>Armoured</v>
      </c>
      <c r="BK40" s="86" t="str">
        <f t="shared" si="79"/>
        <v/>
      </c>
      <c r="BL40" s="86">
        <f>IFERROR(SUMIFS('Cable Data Master'!$K:$K,'Cable Data Master'!$A:$A,$BF40,'Cable Data Master'!$B:$B,$BG40,'Cable Data Master'!$C:$C,$BH40,'Cable Data Master'!$D:$D,$BI40,'Cable Data Master'!$E:$E,$BJ40,'Cable Data Master'!$F:$F,$BK40),"")</f>
        <v>0</v>
      </c>
      <c r="BM40" s="86">
        <f>IFERROR(SUMIFS('Cable Data Master'!$L:$L,'Cable Data Master'!$A:$A,$BF40,'Cable Data Master'!$B:$B,$BG40,'Cable Data Master'!$C:$C,$BH40,'Cable Data Master'!$D:$D,$BI40,'Cable Data Master'!$E:$E,$BJ40,'Cable Data Master'!$F:$F,$BK40),"")</f>
        <v>0</v>
      </c>
      <c r="BN40" s="86">
        <f>IFERROR(SUMIFS('Cable Data Master'!$G:$G,'Cable Data Master'!$A:$A,$BF40,'Cable Data Master'!$B:$B,$BG40,'Cable Data Master'!$C:$C,$BH40,'Cable Data Master'!$D:$D,$BI40,'Cable Data Master'!$E:$E,$BJ40,'Cable Data Master'!$F:$F,$BK40),"")</f>
        <v>0</v>
      </c>
      <c r="BO40" s="86">
        <f>IFERROR(SUMIFS('Cable Data Master'!$H:$H,'Cable Data Master'!$A:$A,$BF40,'Cable Data Master'!$B:$B,$BG40,'Cable Data Master'!$C:$C,$BH40,'Cable Data Master'!$D:$D,$BI40,'Cable Data Master'!$E:$E,$BJ40,'Cable Data Master'!$F:$F,$BK40),"")</f>
        <v>0</v>
      </c>
      <c r="BP40" s="86">
        <f>IFERROR(SUMIFS('Cable Data Master'!$I:$I,'Cable Data Master'!$A:$A,$BF40,'Cable Data Master'!$B:$B,$BG40,'Cable Data Master'!$C:$C,$BH40,'Cable Data Master'!$D:$D,$BI40,'Cable Data Master'!$E:$E,$BJ40,'Cable Data Master'!$F:$F,$BK40),"")</f>
        <v>0</v>
      </c>
      <c r="BQ40" s="86">
        <f>IFERROR(SUMIFS('Cable Data Master'!$J:$J,'Cable Data Master'!$A:$A,$BF40,'Cable Data Master'!$B:$B,$BG40,'Cable Data Master'!$C:$C,$BH40,'Cable Data Master'!$D:$D,$BI40,'Cable Data Master'!$E:$E,$BJ40,'Cable Data Master'!$F:$F,$BK40),"")</f>
        <v>0</v>
      </c>
      <c r="BR40" s="86"/>
    </row>
    <row r="41" spans="1:70" s="87" customFormat="1" ht="30" customHeight="1" x14ac:dyDescent="0.35">
      <c r="A41" s="72">
        <v>38</v>
      </c>
      <c r="B41" s="73"/>
      <c r="C41" s="73"/>
      <c r="D41" s="74">
        <v>4.5</v>
      </c>
      <c r="E41" s="74"/>
      <c r="F41" s="74" t="s">
        <v>132</v>
      </c>
      <c r="G41" s="72" t="str">
        <f>IF(OR(C41="",D41="",E41="",H41="",J41="",K41="",L41="",M41="",N41="",O41="",P41="",Q41="",R41="",S41=""),"",IFERROR(LOOKUP(2,1/(('AUTO ENGINE'!$A$2:$A$1201=ROW())*('AUTO ENGINE'!$M$2:$M$1201=1)),'AUTO ENGINE'!$B$2:$B$1201),"NO CABLE PASSES"))</f>
        <v/>
      </c>
      <c r="H41" s="73" t="s">
        <v>133</v>
      </c>
      <c r="I41" s="72">
        <f t="shared" si="42"/>
        <v>0</v>
      </c>
      <c r="J41" s="73">
        <v>1</v>
      </c>
      <c r="K41" s="73">
        <v>415</v>
      </c>
      <c r="L41" s="73">
        <v>0.53</v>
      </c>
      <c r="M41" s="73">
        <v>0.85</v>
      </c>
      <c r="N41" s="73">
        <v>0.95399999999999996</v>
      </c>
      <c r="O41" s="73"/>
      <c r="P41" s="73">
        <v>1.5</v>
      </c>
      <c r="Q41" s="73">
        <v>0.3</v>
      </c>
      <c r="R41" s="72">
        <f t="shared" si="43"/>
        <v>0</v>
      </c>
      <c r="S41" s="73">
        <v>0.2</v>
      </c>
      <c r="T41" s="72">
        <f t="shared" si="44"/>
        <v>0</v>
      </c>
      <c r="U41" s="72">
        <f t="shared" si="40"/>
        <v>0</v>
      </c>
      <c r="V41" s="72">
        <f t="shared" si="45"/>
        <v>0</v>
      </c>
      <c r="W41" s="72">
        <f t="shared" si="46"/>
        <v>0</v>
      </c>
      <c r="X41" s="72">
        <f t="shared" si="47"/>
        <v>0</v>
      </c>
      <c r="Y41" s="72">
        <f t="shared" si="48"/>
        <v>0</v>
      </c>
      <c r="Z41" s="72" t="str">
        <f t="shared" si="49"/>
        <v>PASS</v>
      </c>
      <c r="AA41" s="72">
        <f t="shared" si="50"/>
        <v>0</v>
      </c>
      <c r="AB41" s="72">
        <f t="shared" si="51"/>
        <v>0.95393920141694566</v>
      </c>
      <c r="AC41" s="72">
        <f t="shared" si="52"/>
        <v>0</v>
      </c>
      <c r="AD41" s="72">
        <f t="shared" si="53"/>
        <v>0</v>
      </c>
      <c r="AE41" s="72">
        <f t="shared" si="54"/>
        <v>0</v>
      </c>
      <c r="AF41" s="72" t="str">
        <f>IF(OR(AE41="",AD41=""),"",IF(AE41&lt;='OS-DORAEN'!$B$6,"PASS","FAIL"))</f>
        <v>PASS</v>
      </c>
      <c r="AG41" s="72">
        <f t="shared" si="55"/>
        <v>0.52678268764263703</v>
      </c>
      <c r="AH41" s="72">
        <f t="shared" si="56"/>
        <v>0</v>
      </c>
      <c r="AI41" s="72">
        <f t="shared" si="57"/>
        <v>0</v>
      </c>
      <c r="AJ41" s="72">
        <f t="shared" si="58"/>
        <v>0</v>
      </c>
      <c r="AK41" s="72" t="str">
        <f>IF(OR(AJ41="",AI41=""),"",IF(AJ41&lt;='OS-DORAEN'!$B$5,"PASS","FAIL"))</f>
        <v>PASS</v>
      </c>
      <c r="AL41" s="72" t="str">
        <f t="shared" si="59"/>
        <v/>
      </c>
      <c r="AM41" s="72" t="str">
        <f t="shared" si="60"/>
        <v/>
      </c>
      <c r="AN41" s="72" t="str">
        <f t="shared" si="61"/>
        <v/>
      </c>
      <c r="AO41" s="72" t="str">
        <f t="shared" si="62"/>
        <v>PASS</v>
      </c>
      <c r="AP41" s="72" t="str">
        <f t="shared" si="63"/>
        <v/>
      </c>
      <c r="AQ41" s="72" t="str">
        <f t="shared" si="64"/>
        <v/>
      </c>
      <c r="AR41" s="72" t="str">
        <f t="shared" si="41"/>
        <v/>
      </c>
      <c r="AS41" s="72">
        <f t="shared" si="65"/>
        <v>0</v>
      </c>
      <c r="AT41" s="72">
        <f>IF(AS41="","",IF(AS41&lt;=Lists!$J$2,Lists!$J$2,IFERROR(INDEX(Lists!$J$2:$J$28,IF(INDEX(Lists!$J$2:$J$28,MATCH(AS41,Lists!$J$2:$J$28,1))=AS41,MATCH(AS41,Lists!$J$2:$J$28,1),MATCH(AS41,Lists!$J$2:$J$28,1)+1)),"NO STANDARD CB")))</f>
        <v>16</v>
      </c>
      <c r="AU41" s="72" t="str">
        <f t="shared" si="66"/>
        <v>Manufacturer-specific adjustable trip unit</v>
      </c>
      <c r="AV41" s="72">
        <f t="shared" si="67"/>
        <v>0</v>
      </c>
      <c r="AW41" s="72" t="str">
        <f t="shared" si="68"/>
        <v>Verify manufacturer instantaneous/magnetic pickup</v>
      </c>
      <c r="AX41" s="72" t="str">
        <f t="shared" si="69"/>
        <v>VERIFY MANUFACTURER</v>
      </c>
      <c r="AY41" s="72" t="str">
        <f t="shared" si="70"/>
        <v>PASS</v>
      </c>
      <c r="AZ41" s="72" t="str">
        <f t="shared" si="71"/>
        <v>16 A MCCB; target Ir 0.0 A; manufacturer trip-unit verification required</v>
      </c>
      <c r="BA41" s="73"/>
      <c r="BB41" s="72" t="str">
        <f t="shared" si="72"/>
        <v>ENTER CB Icu/Ics</v>
      </c>
      <c r="BC41" s="72" t="str">
        <f t="shared" si="73"/>
        <v>Enter manufacturer CB Icu/Ics. Required ≥ 0.00 kA</v>
      </c>
      <c r="BD41" s="72" t="str">
        <f>IF(OR(AS41="",AT41="",AV41=""),"",IF(AND(AT41&gt;=AS41,COUNTIF(Lists!$J$2:$J$28,AT41)&gt;0,AV41&gt;=AS41,AV41&lt;=AT41),"PASS","FAIL - REVIEW MCCB FRAME/TRIP UNIT"))</f>
        <v>PASS</v>
      </c>
      <c r="BE41" s="86"/>
      <c r="BF41" s="86" t="str">
        <f t="shared" si="74"/>
        <v>XLPE</v>
      </c>
      <c r="BG41" s="86" t="str">
        <f t="shared" si="75"/>
        <v>3C</v>
      </c>
      <c r="BH41" s="86" t="str">
        <f t="shared" si="76"/>
        <v>Al</v>
      </c>
      <c r="BI41" s="86" t="str">
        <f t="shared" si="77"/>
        <v>XLPE</v>
      </c>
      <c r="BJ41" s="86" t="str">
        <f t="shared" si="78"/>
        <v>Armoured</v>
      </c>
      <c r="BK41" s="86" t="str">
        <f t="shared" si="79"/>
        <v/>
      </c>
      <c r="BL41" s="86">
        <f>IFERROR(SUMIFS('Cable Data Master'!$K:$K,'Cable Data Master'!$A:$A,$BF41,'Cable Data Master'!$B:$B,$BG41,'Cable Data Master'!$C:$C,$BH41,'Cable Data Master'!$D:$D,$BI41,'Cable Data Master'!$E:$E,$BJ41,'Cable Data Master'!$F:$F,$BK41),"")</f>
        <v>0</v>
      </c>
      <c r="BM41" s="86">
        <f>IFERROR(SUMIFS('Cable Data Master'!$L:$L,'Cable Data Master'!$A:$A,$BF41,'Cable Data Master'!$B:$B,$BG41,'Cable Data Master'!$C:$C,$BH41,'Cable Data Master'!$D:$D,$BI41,'Cable Data Master'!$E:$E,$BJ41,'Cable Data Master'!$F:$F,$BK41),"")</f>
        <v>0</v>
      </c>
      <c r="BN41" s="86">
        <f>IFERROR(SUMIFS('Cable Data Master'!$G:$G,'Cable Data Master'!$A:$A,$BF41,'Cable Data Master'!$B:$B,$BG41,'Cable Data Master'!$C:$C,$BH41,'Cable Data Master'!$D:$D,$BI41,'Cable Data Master'!$E:$E,$BJ41,'Cable Data Master'!$F:$F,$BK41),"")</f>
        <v>0</v>
      </c>
      <c r="BO41" s="86">
        <f>IFERROR(SUMIFS('Cable Data Master'!$H:$H,'Cable Data Master'!$A:$A,$BF41,'Cable Data Master'!$B:$B,$BG41,'Cable Data Master'!$C:$C,$BH41,'Cable Data Master'!$D:$D,$BI41,'Cable Data Master'!$E:$E,$BJ41,'Cable Data Master'!$F:$F,$BK41),"")</f>
        <v>0</v>
      </c>
      <c r="BP41" s="86">
        <f>IFERROR(SUMIFS('Cable Data Master'!$I:$I,'Cable Data Master'!$A:$A,$BF41,'Cable Data Master'!$B:$B,$BG41,'Cable Data Master'!$C:$C,$BH41,'Cable Data Master'!$D:$D,$BI41,'Cable Data Master'!$E:$E,$BJ41,'Cable Data Master'!$F:$F,$BK41),"")</f>
        <v>0</v>
      </c>
      <c r="BQ41" s="86">
        <f>IFERROR(SUMIFS('Cable Data Master'!$J:$J,'Cable Data Master'!$A:$A,$BF41,'Cable Data Master'!$B:$B,$BG41,'Cable Data Master'!$C:$C,$BH41,'Cable Data Master'!$D:$D,$BI41,'Cable Data Master'!$E:$E,$BJ41,'Cable Data Master'!$F:$F,$BK41),"")</f>
        <v>0</v>
      </c>
      <c r="BR41" s="86"/>
    </row>
    <row r="42" spans="1:70" s="87" customFormat="1" ht="30" customHeight="1" x14ac:dyDescent="0.35">
      <c r="A42" s="72">
        <v>39</v>
      </c>
      <c r="B42" s="73"/>
      <c r="C42" s="73"/>
      <c r="D42" s="74">
        <v>4.5</v>
      </c>
      <c r="E42" s="74"/>
      <c r="F42" s="74" t="s">
        <v>132</v>
      </c>
      <c r="G42" s="72" t="str">
        <f>IF(OR(C42="",D42="",E42="",H42="",J42="",K42="",L42="",M42="",N42="",O42="",P42="",Q42="",R42="",S42=""),"",IFERROR(LOOKUP(2,1/(('AUTO ENGINE'!$A$2:$A$1201=ROW())*('AUTO ENGINE'!$M$2:$M$1201=1)),'AUTO ENGINE'!$B$2:$B$1201),"NO CABLE PASSES"))</f>
        <v/>
      </c>
      <c r="H42" s="73" t="s">
        <v>133</v>
      </c>
      <c r="I42" s="72">
        <f t="shared" si="42"/>
        <v>0</v>
      </c>
      <c r="J42" s="73">
        <v>1</v>
      </c>
      <c r="K42" s="73">
        <v>415</v>
      </c>
      <c r="L42" s="73">
        <v>0.53</v>
      </c>
      <c r="M42" s="73">
        <v>0.85</v>
      </c>
      <c r="N42" s="73">
        <v>0.95399999999999996</v>
      </c>
      <c r="O42" s="73"/>
      <c r="P42" s="73">
        <v>1.5</v>
      </c>
      <c r="Q42" s="73">
        <v>0.3</v>
      </c>
      <c r="R42" s="72">
        <f t="shared" si="43"/>
        <v>0</v>
      </c>
      <c r="S42" s="73">
        <v>0.2</v>
      </c>
      <c r="T42" s="72">
        <f t="shared" si="44"/>
        <v>0</v>
      </c>
      <c r="U42" s="72">
        <f t="shared" si="40"/>
        <v>0</v>
      </c>
      <c r="V42" s="72">
        <f t="shared" si="45"/>
        <v>0</v>
      </c>
      <c r="W42" s="72">
        <f t="shared" si="46"/>
        <v>0</v>
      </c>
      <c r="X42" s="72">
        <f t="shared" si="47"/>
        <v>0</v>
      </c>
      <c r="Y42" s="72">
        <f t="shared" si="48"/>
        <v>0</v>
      </c>
      <c r="Z42" s="72" t="str">
        <f t="shared" si="49"/>
        <v>PASS</v>
      </c>
      <c r="AA42" s="72">
        <f t="shared" si="50"/>
        <v>0</v>
      </c>
      <c r="AB42" s="72">
        <f t="shared" si="51"/>
        <v>0.95393920141694566</v>
      </c>
      <c r="AC42" s="72">
        <f t="shared" si="52"/>
        <v>0</v>
      </c>
      <c r="AD42" s="72">
        <f t="shared" si="53"/>
        <v>0</v>
      </c>
      <c r="AE42" s="72">
        <f t="shared" si="54"/>
        <v>0</v>
      </c>
      <c r="AF42" s="72" t="str">
        <f>IF(OR(AE42="",AD42=""),"",IF(AE42&lt;='OS-DORAEN'!$B$6,"PASS","FAIL"))</f>
        <v>PASS</v>
      </c>
      <c r="AG42" s="72">
        <f t="shared" si="55"/>
        <v>0.52678268764263703</v>
      </c>
      <c r="AH42" s="72">
        <f t="shared" si="56"/>
        <v>0</v>
      </c>
      <c r="AI42" s="72">
        <f t="shared" si="57"/>
        <v>0</v>
      </c>
      <c r="AJ42" s="72">
        <f t="shared" si="58"/>
        <v>0</v>
      </c>
      <c r="AK42" s="72" t="str">
        <f>IF(OR(AJ42="",AI42=""),"",IF(AJ42&lt;='OS-DORAEN'!$B$5,"PASS","FAIL"))</f>
        <v>PASS</v>
      </c>
      <c r="AL42" s="72" t="str">
        <f t="shared" si="59"/>
        <v/>
      </c>
      <c r="AM42" s="72" t="str">
        <f t="shared" si="60"/>
        <v/>
      </c>
      <c r="AN42" s="72" t="str">
        <f t="shared" si="61"/>
        <v/>
      </c>
      <c r="AO42" s="72" t="str">
        <f t="shared" si="62"/>
        <v>PASS</v>
      </c>
      <c r="AP42" s="72" t="str">
        <f t="shared" si="63"/>
        <v/>
      </c>
      <c r="AQ42" s="72" t="str">
        <f t="shared" si="64"/>
        <v/>
      </c>
      <c r="AR42" s="72" t="str">
        <f t="shared" si="41"/>
        <v/>
      </c>
      <c r="AS42" s="72">
        <f t="shared" si="65"/>
        <v>0</v>
      </c>
      <c r="AT42" s="72">
        <f>IF(AS42="","",IF(AS42&lt;=Lists!$J$2,Lists!$J$2,IFERROR(INDEX(Lists!$J$2:$J$28,IF(INDEX(Lists!$J$2:$J$28,MATCH(AS42,Lists!$J$2:$J$28,1))=AS42,MATCH(AS42,Lists!$J$2:$J$28,1),MATCH(AS42,Lists!$J$2:$J$28,1)+1)),"NO STANDARD CB")))</f>
        <v>16</v>
      </c>
      <c r="AU42" s="72" t="str">
        <f t="shared" si="66"/>
        <v>Manufacturer-specific adjustable trip unit</v>
      </c>
      <c r="AV42" s="72">
        <f t="shared" si="67"/>
        <v>0</v>
      </c>
      <c r="AW42" s="72" t="str">
        <f t="shared" si="68"/>
        <v>Verify manufacturer instantaneous/magnetic pickup</v>
      </c>
      <c r="AX42" s="72" t="str">
        <f t="shared" si="69"/>
        <v>VERIFY MANUFACTURER</v>
      </c>
      <c r="AY42" s="72" t="str">
        <f t="shared" si="70"/>
        <v>PASS</v>
      </c>
      <c r="AZ42" s="72" t="str">
        <f t="shared" si="71"/>
        <v>16 A MCCB; target Ir 0.0 A; manufacturer trip-unit verification required</v>
      </c>
      <c r="BA42" s="73"/>
      <c r="BB42" s="72" t="str">
        <f t="shared" si="72"/>
        <v>ENTER CB Icu/Ics</v>
      </c>
      <c r="BC42" s="72" t="str">
        <f t="shared" si="73"/>
        <v>Enter manufacturer CB Icu/Ics. Required ≥ 0.00 kA</v>
      </c>
      <c r="BD42" s="72" t="str">
        <f>IF(OR(AS42="",AT42="",AV42=""),"",IF(AND(AT42&gt;=AS42,COUNTIF(Lists!$J$2:$J$28,AT42)&gt;0,AV42&gt;=AS42,AV42&lt;=AT42),"PASS","FAIL - REVIEW MCCB FRAME/TRIP UNIT"))</f>
        <v>PASS</v>
      </c>
      <c r="BE42" s="86"/>
      <c r="BF42" s="86" t="str">
        <f t="shared" si="74"/>
        <v>XLPE</v>
      </c>
      <c r="BG42" s="86" t="str">
        <f t="shared" si="75"/>
        <v>3C</v>
      </c>
      <c r="BH42" s="86" t="str">
        <f t="shared" si="76"/>
        <v>Al</v>
      </c>
      <c r="BI42" s="86" t="str">
        <f t="shared" si="77"/>
        <v>XLPE</v>
      </c>
      <c r="BJ42" s="86" t="str">
        <f t="shared" si="78"/>
        <v>Armoured</v>
      </c>
      <c r="BK42" s="86" t="str">
        <f t="shared" si="79"/>
        <v/>
      </c>
      <c r="BL42" s="86">
        <f>IFERROR(SUMIFS('Cable Data Master'!$K:$K,'Cable Data Master'!$A:$A,$BF42,'Cable Data Master'!$B:$B,$BG42,'Cable Data Master'!$C:$C,$BH42,'Cable Data Master'!$D:$D,$BI42,'Cable Data Master'!$E:$E,$BJ42,'Cable Data Master'!$F:$F,$BK42),"")</f>
        <v>0</v>
      </c>
      <c r="BM42" s="86">
        <f>IFERROR(SUMIFS('Cable Data Master'!$L:$L,'Cable Data Master'!$A:$A,$BF42,'Cable Data Master'!$B:$B,$BG42,'Cable Data Master'!$C:$C,$BH42,'Cable Data Master'!$D:$D,$BI42,'Cable Data Master'!$E:$E,$BJ42,'Cable Data Master'!$F:$F,$BK42),"")</f>
        <v>0</v>
      </c>
      <c r="BN42" s="86">
        <f>IFERROR(SUMIFS('Cable Data Master'!$G:$G,'Cable Data Master'!$A:$A,$BF42,'Cable Data Master'!$B:$B,$BG42,'Cable Data Master'!$C:$C,$BH42,'Cable Data Master'!$D:$D,$BI42,'Cable Data Master'!$E:$E,$BJ42,'Cable Data Master'!$F:$F,$BK42),"")</f>
        <v>0</v>
      </c>
      <c r="BO42" s="86">
        <f>IFERROR(SUMIFS('Cable Data Master'!$H:$H,'Cable Data Master'!$A:$A,$BF42,'Cable Data Master'!$B:$B,$BG42,'Cable Data Master'!$C:$C,$BH42,'Cable Data Master'!$D:$D,$BI42,'Cable Data Master'!$E:$E,$BJ42,'Cable Data Master'!$F:$F,$BK42),"")</f>
        <v>0</v>
      </c>
      <c r="BP42" s="86">
        <f>IFERROR(SUMIFS('Cable Data Master'!$I:$I,'Cable Data Master'!$A:$A,$BF42,'Cable Data Master'!$B:$B,$BG42,'Cable Data Master'!$C:$C,$BH42,'Cable Data Master'!$D:$D,$BI42,'Cable Data Master'!$E:$E,$BJ42,'Cable Data Master'!$F:$F,$BK42),"")</f>
        <v>0</v>
      </c>
      <c r="BQ42" s="86">
        <f>IFERROR(SUMIFS('Cable Data Master'!$J:$J,'Cable Data Master'!$A:$A,$BF42,'Cable Data Master'!$B:$B,$BG42,'Cable Data Master'!$C:$C,$BH42,'Cable Data Master'!$D:$D,$BI42,'Cable Data Master'!$E:$E,$BJ42,'Cable Data Master'!$F:$F,$BK42),"")</f>
        <v>0</v>
      </c>
      <c r="BR42" s="86"/>
    </row>
    <row r="43" spans="1:70" s="87" customFormat="1" ht="30" customHeight="1" x14ac:dyDescent="0.35">
      <c r="A43" s="72">
        <v>40</v>
      </c>
      <c r="B43" s="73"/>
      <c r="C43" s="73"/>
      <c r="D43" s="74">
        <v>4.5</v>
      </c>
      <c r="E43" s="74"/>
      <c r="F43" s="74" t="s">
        <v>132</v>
      </c>
      <c r="G43" s="72" t="str">
        <f>IF(OR(C43="",D43="",E43="",H43="",J43="",K43="",L43="",M43="",N43="",O43="",P43="",Q43="",R43="",S43=""),"",IFERROR(LOOKUP(2,1/(('AUTO ENGINE'!$A$2:$A$1201=ROW())*('AUTO ENGINE'!$M$2:$M$1201=1)),'AUTO ENGINE'!$B$2:$B$1201),"NO CABLE PASSES"))</f>
        <v/>
      </c>
      <c r="H43" s="73" t="s">
        <v>133</v>
      </c>
      <c r="I43" s="72">
        <f t="shared" si="42"/>
        <v>0</v>
      </c>
      <c r="J43" s="73">
        <v>1</v>
      </c>
      <c r="K43" s="73">
        <v>415</v>
      </c>
      <c r="L43" s="73">
        <v>0.53</v>
      </c>
      <c r="M43" s="73">
        <v>0.85</v>
      </c>
      <c r="N43" s="73">
        <v>0.95399999999999996</v>
      </c>
      <c r="O43" s="73"/>
      <c r="P43" s="73">
        <v>1.5</v>
      </c>
      <c r="Q43" s="73">
        <v>0.3</v>
      </c>
      <c r="R43" s="72">
        <f t="shared" si="43"/>
        <v>0</v>
      </c>
      <c r="S43" s="73">
        <v>0.2</v>
      </c>
      <c r="T43" s="72">
        <f t="shared" si="44"/>
        <v>0</v>
      </c>
      <c r="U43" s="72">
        <f t="shared" si="40"/>
        <v>0</v>
      </c>
      <c r="V43" s="72">
        <f t="shared" si="45"/>
        <v>0</v>
      </c>
      <c r="W43" s="72">
        <f t="shared" si="46"/>
        <v>0</v>
      </c>
      <c r="X43" s="72">
        <f t="shared" si="47"/>
        <v>0</v>
      </c>
      <c r="Y43" s="72">
        <f t="shared" si="48"/>
        <v>0</v>
      </c>
      <c r="Z43" s="72" t="str">
        <f t="shared" si="49"/>
        <v>PASS</v>
      </c>
      <c r="AA43" s="72">
        <f t="shared" si="50"/>
        <v>0</v>
      </c>
      <c r="AB43" s="72">
        <f t="shared" si="51"/>
        <v>0.95393920141694566</v>
      </c>
      <c r="AC43" s="72">
        <f t="shared" si="52"/>
        <v>0</v>
      </c>
      <c r="AD43" s="72">
        <f t="shared" si="53"/>
        <v>0</v>
      </c>
      <c r="AE43" s="72">
        <f t="shared" si="54"/>
        <v>0</v>
      </c>
      <c r="AF43" s="72" t="str">
        <f>IF(OR(AE43="",AD43=""),"",IF(AE43&lt;='OS-DORAEN'!$B$6,"PASS","FAIL"))</f>
        <v>PASS</v>
      </c>
      <c r="AG43" s="72">
        <f t="shared" si="55"/>
        <v>0.52678268764263703</v>
      </c>
      <c r="AH43" s="72">
        <f t="shared" si="56"/>
        <v>0</v>
      </c>
      <c r="AI43" s="72">
        <f t="shared" si="57"/>
        <v>0</v>
      </c>
      <c r="AJ43" s="72">
        <f t="shared" si="58"/>
        <v>0</v>
      </c>
      <c r="AK43" s="72" t="str">
        <f>IF(OR(AJ43="",AI43=""),"",IF(AJ43&lt;='OS-DORAEN'!$B$5,"PASS","FAIL"))</f>
        <v>PASS</v>
      </c>
      <c r="AL43" s="72" t="str">
        <f t="shared" si="59"/>
        <v/>
      </c>
      <c r="AM43" s="72" t="str">
        <f t="shared" si="60"/>
        <v/>
      </c>
      <c r="AN43" s="72" t="str">
        <f t="shared" si="61"/>
        <v/>
      </c>
      <c r="AO43" s="72" t="str">
        <f t="shared" si="62"/>
        <v>PASS</v>
      </c>
      <c r="AP43" s="72" t="str">
        <f t="shared" si="63"/>
        <v/>
      </c>
      <c r="AQ43" s="72" t="str">
        <f t="shared" si="64"/>
        <v/>
      </c>
      <c r="AR43" s="72" t="str">
        <f t="shared" si="41"/>
        <v/>
      </c>
      <c r="AS43" s="72">
        <f t="shared" si="65"/>
        <v>0</v>
      </c>
      <c r="AT43" s="72">
        <f>IF(AS43="","",IF(AS43&lt;=Lists!$J$2,Lists!$J$2,IFERROR(INDEX(Lists!$J$2:$J$28,IF(INDEX(Lists!$J$2:$J$28,MATCH(AS43,Lists!$J$2:$J$28,1))=AS43,MATCH(AS43,Lists!$J$2:$J$28,1),MATCH(AS43,Lists!$J$2:$J$28,1)+1)),"NO STANDARD CB")))</f>
        <v>16</v>
      </c>
      <c r="AU43" s="72" t="str">
        <f t="shared" si="66"/>
        <v>Manufacturer-specific adjustable trip unit</v>
      </c>
      <c r="AV43" s="72">
        <f t="shared" si="67"/>
        <v>0</v>
      </c>
      <c r="AW43" s="72" t="str">
        <f t="shared" si="68"/>
        <v>Verify manufacturer instantaneous/magnetic pickup</v>
      </c>
      <c r="AX43" s="72" t="str">
        <f t="shared" si="69"/>
        <v>VERIFY MANUFACTURER</v>
      </c>
      <c r="AY43" s="72" t="str">
        <f t="shared" si="70"/>
        <v>PASS</v>
      </c>
      <c r="AZ43" s="72" t="str">
        <f t="shared" si="71"/>
        <v>16 A MCCB; target Ir 0.0 A; manufacturer trip-unit verification required</v>
      </c>
      <c r="BA43" s="73"/>
      <c r="BB43" s="72" t="str">
        <f t="shared" si="72"/>
        <v>ENTER CB Icu/Ics</v>
      </c>
      <c r="BC43" s="72" t="str">
        <f t="shared" si="73"/>
        <v>Enter manufacturer CB Icu/Ics. Required ≥ 0.00 kA</v>
      </c>
      <c r="BD43" s="72" t="str">
        <f>IF(OR(AS43="",AT43="",AV43=""),"",IF(AND(AT43&gt;=AS43,COUNTIF(Lists!$J$2:$J$28,AT43)&gt;0,AV43&gt;=AS43,AV43&lt;=AT43),"PASS","FAIL - REVIEW MCCB FRAME/TRIP UNIT"))</f>
        <v>PASS</v>
      </c>
      <c r="BE43" s="86"/>
      <c r="BF43" s="86" t="str">
        <f t="shared" si="74"/>
        <v>XLPE</v>
      </c>
      <c r="BG43" s="86" t="str">
        <f t="shared" si="75"/>
        <v>3C</v>
      </c>
      <c r="BH43" s="86" t="str">
        <f t="shared" si="76"/>
        <v>Al</v>
      </c>
      <c r="BI43" s="86" t="str">
        <f t="shared" si="77"/>
        <v>XLPE</v>
      </c>
      <c r="BJ43" s="86" t="str">
        <f t="shared" si="78"/>
        <v>Armoured</v>
      </c>
      <c r="BK43" s="86" t="str">
        <f t="shared" si="79"/>
        <v/>
      </c>
      <c r="BL43" s="86">
        <f>IFERROR(SUMIFS('Cable Data Master'!$K:$K,'Cable Data Master'!$A:$A,$BF43,'Cable Data Master'!$B:$B,$BG43,'Cable Data Master'!$C:$C,$BH43,'Cable Data Master'!$D:$D,$BI43,'Cable Data Master'!$E:$E,$BJ43,'Cable Data Master'!$F:$F,$BK43),"")</f>
        <v>0</v>
      </c>
      <c r="BM43" s="86">
        <f>IFERROR(SUMIFS('Cable Data Master'!$L:$L,'Cable Data Master'!$A:$A,$BF43,'Cable Data Master'!$B:$B,$BG43,'Cable Data Master'!$C:$C,$BH43,'Cable Data Master'!$D:$D,$BI43,'Cable Data Master'!$E:$E,$BJ43,'Cable Data Master'!$F:$F,$BK43),"")</f>
        <v>0</v>
      </c>
      <c r="BN43" s="86">
        <f>IFERROR(SUMIFS('Cable Data Master'!$G:$G,'Cable Data Master'!$A:$A,$BF43,'Cable Data Master'!$B:$B,$BG43,'Cable Data Master'!$C:$C,$BH43,'Cable Data Master'!$D:$D,$BI43,'Cable Data Master'!$E:$E,$BJ43,'Cable Data Master'!$F:$F,$BK43),"")</f>
        <v>0</v>
      </c>
      <c r="BO43" s="86">
        <f>IFERROR(SUMIFS('Cable Data Master'!$H:$H,'Cable Data Master'!$A:$A,$BF43,'Cable Data Master'!$B:$B,$BG43,'Cable Data Master'!$C:$C,$BH43,'Cable Data Master'!$D:$D,$BI43,'Cable Data Master'!$E:$E,$BJ43,'Cable Data Master'!$F:$F,$BK43),"")</f>
        <v>0</v>
      </c>
      <c r="BP43" s="86">
        <f>IFERROR(SUMIFS('Cable Data Master'!$I:$I,'Cable Data Master'!$A:$A,$BF43,'Cable Data Master'!$B:$B,$BG43,'Cable Data Master'!$C:$C,$BH43,'Cable Data Master'!$D:$D,$BI43,'Cable Data Master'!$E:$E,$BJ43,'Cable Data Master'!$F:$F,$BK43),"")</f>
        <v>0</v>
      </c>
      <c r="BQ43" s="86">
        <f>IFERROR(SUMIFS('Cable Data Master'!$J:$J,'Cable Data Master'!$A:$A,$BF43,'Cable Data Master'!$B:$B,$BG43,'Cable Data Master'!$C:$C,$BH43,'Cable Data Master'!$D:$D,$BI43,'Cable Data Master'!$E:$E,$BJ43,'Cable Data Master'!$F:$F,$BK43),"")</f>
        <v>0</v>
      </c>
      <c r="BR43" s="86"/>
    </row>
    <row r="44" spans="1:70" s="87" customFormat="1" ht="30" customHeight="1" x14ac:dyDescent="0.35">
      <c r="A44" s="72">
        <v>41</v>
      </c>
      <c r="B44" s="73"/>
      <c r="C44" s="73"/>
      <c r="D44" s="74">
        <v>4.5</v>
      </c>
      <c r="E44" s="74"/>
      <c r="F44" s="74" t="s">
        <v>132</v>
      </c>
      <c r="G44" s="72" t="str">
        <f>IF(OR(C44="",D44="",E44="",H44="",J44="",K44="",L44="",M44="",N44="",O44="",P44="",Q44="",R44="",S44=""),"",IFERROR(LOOKUP(2,1/(('AUTO ENGINE'!$A$2:$A$1201=ROW())*('AUTO ENGINE'!$M$2:$M$1201=1)),'AUTO ENGINE'!$B$2:$B$1201),"NO CABLE PASSES"))</f>
        <v/>
      </c>
      <c r="H44" s="73" t="s">
        <v>133</v>
      </c>
      <c r="I44" s="72">
        <f t="shared" si="42"/>
        <v>0</v>
      </c>
      <c r="J44" s="73">
        <v>1</v>
      </c>
      <c r="K44" s="73">
        <v>415</v>
      </c>
      <c r="L44" s="73">
        <v>0.53</v>
      </c>
      <c r="M44" s="73">
        <v>0.85</v>
      </c>
      <c r="N44" s="73">
        <v>0.95399999999999996</v>
      </c>
      <c r="O44" s="73"/>
      <c r="P44" s="73">
        <v>1.5</v>
      </c>
      <c r="Q44" s="73">
        <v>0.3</v>
      </c>
      <c r="R44" s="72">
        <f t="shared" si="43"/>
        <v>0</v>
      </c>
      <c r="S44" s="73">
        <v>0.2</v>
      </c>
      <c r="T44" s="72">
        <f t="shared" si="44"/>
        <v>0</v>
      </c>
      <c r="U44" s="72">
        <f t="shared" si="40"/>
        <v>0</v>
      </c>
      <c r="V44" s="72">
        <f t="shared" si="45"/>
        <v>0</v>
      </c>
      <c r="W44" s="72">
        <f t="shared" si="46"/>
        <v>0</v>
      </c>
      <c r="X44" s="72">
        <f t="shared" si="47"/>
        <v>0</v>
      </c>
      <c r="Y44" s="72">
        <f t="shared" si="48"/>
        <v>0</v>
      </c>
      <c r="Z44" s="72" t="str">
        <f t="shared" si="49"/>
        <v>PASS</v>
      </c>
      <c r="AA44" s="72">
        <f t="shared" si="50"/>
        <v>0</v>
      </c>
      <c r="AB44" s="72">
        <f t="shared" si="51"/>
        <v>0.95393920141694566</v>
      </c>
      <c r="AC44" s="72">
        <f t="shared" si="52"/>
        <v>0</v>
      </c>
      <c r="AD44" s="72">
        <f t="shared" si="53"/>
        <v>0</v>
      </c>
      <c r="AE44" s="72">
        <f t="shared" si="54"/>
        <v>0</v>
      </c>
      <c r="AF44" s="72" t="str">
        <f>IF(OR(AE44="",AD44=""),"",IF(AE44&lt;='OS-DORAEN'!$B$6,"PASS","FAIL"))</f>
        <v>PASS</v>
      </c>
      <c r="AG44" s="72">
        <f t="shared" si="55"/>
        <v>0.52678268764263703</v>
      </c>
      <c r="AH44" s="72">
        <f t="shared" si="56"/>
        <v>0</v>
      </c>
      <c r="AI44" s="72">
        <f t="shared" si="57"/>
        <v>0</v>
      </c>
      <c r="AJ44" s="72">
        <f t="shared" si="58"/>
        <v>0</v>
      </c>
      <c r="AK44" s="72" t="str">
        <f>IF(OR(AJ44="",AI44=""),"",IF(AJ44&lt;='OS-DORAEN'!$B$5,"PASS","FAIL"))</f>
        <v>PASS</v>
      </c>
      <c r="AL44" s="72" t="str">
        <f t="shared" si="59"/>
        <v/>
      </c>
      <c r="AM44" s="72" t="str">
        <f t="shared" si="60"/>
        <v/>
      </c>
      <c r="AN44" s="72" t="str">
        <f t="shared" si="61"/>
        <v/>
      </c>
      <c r="AO44" s="72" t="str">
        <f t="shared" si="62"/>
        <v>PASS</v>
      </c>
      <c r="AP44" s="72" t="str">
        <f t="shared" si="63"/>
        <v/>
      </c>
      <c r="AQ44" s="72" t="str">
        <f t="shared" si="64"/>
        <v/>
      </c>
      <c r="AR44" s="72" t="str">
        <f t="shared" si="41"/>
        <v/>
      </c>
      <c r="AS44" s="72">
        <f t="shared" si="65"/>
        <v>0</v>
      </c>
      <c r="AT44" s="72">
        <f>IF(AS44="","",IF(AS44&lt;=Lists!$J$2,Lists!$J$2,IFERROR(INDEX(Lists!$J$2:$J$28,IF(INDEX(Lists!$J$2:$J$28,MATCH(AS44,Lists!$J$2:$J$28,1))=AS44,MATCH(AS44,Lists!$J$2:$J$28,1),MATCH(AS44,Lists!$J$2:$J$28,1)+1)),"NO STANDARD CB")))</f>
        <v>16</v>
      </c>
      <c r="AU44" s="72" t="str">
        <f t="shared" si="66"/>
        <v>Manufacturer-specific adjustable trip unit</v>
      </c>
      <c r="AV44" s="72">
        <f t="shared" si="67"/>
        <v>0</v>
      </c>
      <c r="AW44" s="72" t="str">
        <f t="shared" si="68"/>
        <v>Verify manufacturer instantaneous/magnetic pickup</v>
      </c>
      <c r="AX44" s="72" t="str">
        <f t="shared" si="69"/>
        <v>VERIFY MANUFACTURER</v>
      </c>
      <c r="AY44" s="72" t="str">
        <f t="shared" si="70"/>
        <v>PASS</v>
      </c>
      <c r="AZ44" s="72" t="str">
        <f t="shared" si="71"/>
        <v>16 A MCCB; target Ir 0.0 A; manufacturer trip-unit verification required</v>
      </c>
      <c r="BA44" s="73"/>
      <c r="BB44" s="72" t="str">
        <f t="shared" si="72"/>
        <v>ENTER CB Icu/Ics</v>
      </c>
      <c r="BC44" s="72" t="str">
        <f t="shared" si="73"/>
        <v>Enter manufacturer CB Icu/Ics. Required ≥ 0.00 kA</v>
      </c>
      <c r="BD44" s="72" t="str">
        <f>IF(OR(AS44="",AT44="",AV44=""),"",IF(AND(AT44&gt;=AS44,COUNTIF(Lists!$J$2:$J$28,AT44)&gt;0,AV44&gt;=AS44,AV44&lt;=AT44),"PASS","FAIL - REVIEW MCCB FRAME/TRIP UNIT"))</f>
        <v>PASS</v>
      </c>
      <c r="BE44" s="86"/>
      <c r="BF44" s="86" t="str">
        <f t="shared" si="74"/>
        <v>XLPE</v>
      </c>
      <c r="BG44" s="86" t="str">
        <f t="shared" si="75"/>
        <v>3C</v>
      </c>
      <c r="BH44" s="86" t="str">
        <f t="shared" si="76"/>
        <v>Al</v>
      </c>
      <c r="BI44" s="86" t="str">
        <f t="shared" si="77"/>
        <v>XLPE</v>
      </c>
      <c r="BJ44" s="86" t="str">
        <f t="shared" si="78"/>
        <v>Armoured</v>
      </c>
      <c r="BK44" s="86" t="str">
        <f t="shared" si="79"/>
        <v/>
      </c>
      <c r="BL44" s="86">
        <f>IFERROR(SUMIFS('Cable Data Master'!$K:$K,'Cable Data Master'!$A:$A,$BF44,'Cable Data Master'!$B:$B,$BG44,'Cable Data Master'!$C:$C,$BH44,'Cable Data Master'!$D:$D,$BI44,'Cable Data Master'!$E:$E,$BJ44,'Cable Data Master'!$F:$F,$BK44),"")</f>
        <v>0</v>
      </c>
      <c r="BM44" s="86">
        <f>IFERROR(SUMIFS('Cable Data Master'!$L:$L,'Cable Data Master'!$A:$A,$BF44,'Cable Data Master'!$B:$B,$BG44,'Cable Data Master'!$C:$C,$BH44,'Cable Data Master'!$D:$D,$BI44,'Cable Data Master'!$E:$E,$BJ44,'Cable Data Master'!$F:$F,$BK44),"")</f>
        <v>0</v>
      </c>
      <c r="BN44" s="86">
        <f>IFERROR(SUMIFS('Cable Data Master'!$G:$G,'Cable Data Master'!$A:$A,$BF44,'Cable Data Master'!$B:$B,$BG44,'Cable Data Master'!$C:$C,$BH44,'Cable Data Master'!$D:$D,$BI44,'Cable Data Master'!$E:$E,$BJ44,'Cable Data Master'!$F:$F,$BK44),"")</f>
        <v>0</v>
      </c>
      <c r="BO44" s="86">
        <f>IFERROR(SUMIFS('Cable Data Master'!$H:$H,'Cable Data Master'!$A:$A,$BF44,'Cable Data Master'!$B:$B,$BG44,'Cable Data Master'!$C:$C,$BH44,'Cable Data Master'!$D:$D,$BI44,'Cable Data Master'!$E:$E,$BJ44,'Cable Data Master'!$F:$F,$BK44),"")</f>
        <v>0</v>
      </c>
      <c r="BP44" s="86">
        <f>IFERROR(SUMIFS('Cable Data Master'!$I:$I,'Cable Data Master'!$A:$A,$BF44,'Cable Data Master'!$B:$B,$BG44,'Cable Data Master'!$C:$C,$BH44,'Cable Data Master'!$D:$D,$BI44,'Cable Data Master'!$E:$E,$BJ44,'Cable Data Master'!$F:$F,$BK44),"")</f>
        <v>0</v>
      </c>
      <c r="BQ44" s="86">
        <f>IFERROR(SUMIFS('Cable Data Master'!$J:$J,'Cable Data Master'!$A:$A,$BF44,'Cable Data Master'!$B:$B,$BG44,'Cable Data Master'!$C:$C,$BH44,'Cable Data Master'!$D:$D,$BI44,'Cable Data Master'!$E:$E,$BJ44,'Cable Data Master'!$F:$F,$BK44),"")</f>
        <v>0</v>
      </c>
      <c r="BR44" s="86"/>
    </row>
    <row r="45" spans="1:70" s="87" customFormat="1" ht="30" customHeight="1" x14ac:dyDescent="0.35">
      <c r="A45" s="72">
        <v>42</v>
      </c>
      <c r="B45" s="73"/>
      <c r="C45" s="73"/>
      <c r="D45" s="74">
        <v>4.5</v>
      </c>
      <c r="E45" s="74"/>
      <c r="F45" s="74" t="s">
        <v>132</v>
      </c>
      <c r="G45" s="72" t="str">
        <f>IF(OR(C45="",D45="",E45="",H45="",J45="",K45="",L45="",M45="",N45="",O45="",P45="",Q45="",R45="",S45=""),"",IFERROR(LOOKUP(2,1/(('AUTO ENGINE'!$A$2:$A$1201=ROW())*('AUTO ENGINE'!$M$2:$M$1201=1)),'AUTO ENGINE'!$B$2:$B$1201),"NO CABLE PASSES"))</f>
        <v/>
      </c>
      <c r="H45" s="73" t="s">
        <v>133</v>
      </c>
      <c r="I45" s="72">
        <f t="shared" si="42"/>
        <v>0</v>
      </c>
      <c r="J45" s="73">
        <v>1</v>
      </c>
      <c r="K45" s="73">
        <v>415</v>
      </c>
      <c r="L45" s="73">
        <v>0.53</v>
      </c>
      <c r="M45" s="73">
        <v>0.85</v>
      </c>
      <c r="N45" s="73">
        <v>0.95399999999999996</v>
      </c>
      <c r="O45" s="73"/>
      <c r="P45" s="73">
        <v>1.5</v>
      </c>
      <c r="Q45" s="73">
        <v>0.3</v>
      </c>
      <c r="R45" s="72">
        <f t="shared" si="43"/>
        <v>0</v>
      </c>
      <c r="S45" s="73">
        <v>0.2</v>
      </c>
      <c r="T45" s="72">
        <f t="shared" si="44"/>
        <v>0</v>
      </c>
      <c r="U45" s="72">
        <f t="shared" si="40"/>
        <v>0</v>
      </c>
      <c r="V45" s="72">
        <f t="shared" si="45"/>
        <v>0</v>
      </c>
      <c r="W45" s="72">
        <f t="shared" si="46"/>
        <v>0</v>
      </c>
      <c r="X45" s="72">
        <f t="shared" si="47"/>
        <v>0</v>
      </c>
      <c r="Y45" s="72">
        <f t="shared" si="48"/>
        <v>0</v>
      </c>
      <c r="Z45" s="72" t="str">
        <f t="shared" si="49"/>
        <v>PASS</v>
      </c>
      <c r="AA45" s="72">
        <f t="shared" si="50"/>
        <v>0</v>
      </c>
      <c r="AB45" s="72">
        <f t="shared" si="51"/>
        <v>0.95393920141694566</v>
      </c>
      <c r="AC45" s="72">
        <f t="shared" si="52"/>
        <v>0</v>
      </c>
      <c r="AD45" s="72">
        <f t="shared" si="53"/>
        <v>0</v>
      </c>
      <c r="AE45" s="72">
        <f t="shared" si="54"/>
        <v>0</v>
      </c>
      <c r="AF45" s="72" t="str">
        <f>IF(OR(AE45="",AD45=""),"",IF(AE45&lt;='OS-DORAEN'!$B$6,"PASS","FAIL"))</f>
        <v>PASS</v>
      </c>
      <c r="AG45" s="72">
        <f t="shared" si="55"/>
        <v>0.52678268764263703</v>
      </c>
      <c r="AH45" s="72">
        <f t="shared" si="56"/>
        <v>0</v>
      </c>
      <c r="AI45" s="72">
        <f t="shared" si="57"/>
        <v>0</v>
      </c>
      <c r="AJ45" s="72">
        <f t="shared" si="58"/>
        <v>0</v>
      </c>
      <c r="AK45" s="72" t="str">
        <f>IF(OR(AJ45="",AI45=""),"",IF(AJ45&lt;='OS-DORAEN'!$B$5,"PASS","FAIL"))</f>
        <v>PASS</v>
      </c>
      <c r="AL45" s="72" t="str">
        <f t="shared" si="59"/>
        <v/>
      </c>
      <c r="AM45" s="72" t="str">
        <f t="shared" si="60"/>
        <v/>
      </c>
      <c r="AN45" s="72" t="str">
        <f t="shared" si="61"/>
        <v/>
      </c>
      <c r="AO45" s="72" t="str">
        <f t="shared" si="62"/>
        <v>PASS</v>
      </c>
      <c r="AP45" s="72" t="str">
        <f t="shared" si="63"/>
        <v/>
      </c>
      <c r="AQ45" s="72" t="str">
        <f t="shared" si="64"/>
        <v/>
      </c>
      <c r="AR45" s="72" t="str">
        <f t="shared" si="41"/>
        <v/>
      </c>
      <c r="AS45" s="72">
        <f t="shared" si="65"/>
        <v>0</v>
      </c>
      <c r="AT45" s="72">
        <f>IF(AS45="","",IF(AS45&lt;=Lists!$J$2,Lists!$J$2,IFERROR(INDEX(Lists!$J$2:$J$28,IF(INDEX(Lists!$J$2:$J$28,MATCH(AS45,Lists!$J$2:$J$28,1))=AS45,MATCH(AS45,Lists!$J$2:$J$28,1),MATCH(AS45,Lists!$J$2:$J$28,1)+1)),"NO STANDARD CB")))</f>
        <v>16</v>
      </c>
      <c r="AU45" s="72" t="str">
        <f t="shared" si="66"/>
        <v>Manufacturer-specific adjustable trip unit</v>
      </c>
      <c r="AV45" s="72">
        <f t="shared" si="67"/>
        <v>0</v>
      </c>
      <c r="AW45" s="72" t="str">
        <f t="shared" si="68"/>
        <v>Verify manufacturer instantaneous/magnetic pickup</v>
      </c>
      <c r="AX45" s="72" t="str">
        <f t="shared" si="69"/>
        <v>VERIFY MANUFACTURER</v>
      </c>
      <c r="AY45" s="72" t="str">
        <f t="shared" si="70"/>
        <v>PASS</v>
      </c>
      <c r="AZ45" s="72" t="str">
        <f t="shared" si="71"/>
        <v>16 A MCCB; target Ir 0.0 A; manufacturer trip-unit verification required</v>
      </c>
      <c r="BA45" s="73"/>
      <c r="BB45" s="72" t="str">
        <f t="shared" si="72"/>
        <v>ENTER CB Icu/Ics</v>
      </c>
      <c r="BC45" s="72" t="str">
        <f t="shared" si="73"/>
        <v>Enter manufacturer CB Icu/Ics. Required ≥ 0.00 kA</v>
      </c>
      <c r="BD45" s="72" t="str">
        <f>IF(OR(AS45="",AT45="",AV45=""),"",IF(AND(AT45&gt;=AS45,COUNTIF(Lists!$J$2:$J$28,AT45)&gt;0,AV45&gt;=AS45,AV45&lt;=AT45),"PASS","FAIL - REVIEW MCCB FRAME/TRIP UNIT"))</f>
        <v>PASS</v>
      </c>
      <c r="BE45" s="86"/>
      <c r="BF45" s="86" t="str">
        <f t="shared" si="74"/>
        <v>XLPE</v>
      </c>
      <c r="BG45" s="86" t="str">
        <f t="shared" si="75"/>
        <v>3C</v>
      </c>
      <c r="BH45" s="86" t="str">
        <f t="shared" si="76"/>
        <v>Al</v>
      </c>
      <c r="BI45" s="86" t="str">
        <f t="shared" si="77"/>
        <v>XLPE</v>
      </c>
      <c r="BJ45" s="86" t="str">
        <f t="shared" si="78"/>
        <v>Armoured</v>
      </c>
      <c r="BK45" s="86" t="str">
        <f t="shared" si="79"/>
        <v/>
      </c>
      <c r="BL45" s="86">
        <f>IFERROR(SUMIFS('Cable Data Master'!$K:$K,'Cable Data Master'!$A:$A,$BF45,'Cable Data Master'!$B:$B,$BG45,'Cable Data Master'!$C:$C,$BH45,'Cable Data Master'!$D:$D,$BI45,'Cable Data Master'!$E:$E,$BJ45,'Cable Data Master'!$F:$F,$BK45),"")</f>
        <v>0</v>
      </c>
      <c r="BM45" s="86">
        <f>IFERROR(SUMIFS('Cable Data Master'!$L:$L,'Cable Data Master'!$A:$A,$BF45,'Cable Data Master'!$B:$B,$BG45,'Cable Data Master'!$C:$C,$BH45,'Cable Data Master'!$D:$D,$BI45,'Cable Data Master'!$E:$E,$BJ45,'Cable Data Master'!$F:$F,$BK45),"")</f>
        <v>0</v>
      </c>
      <c r="BN45" s="86">
        <f>IFERROR(SUMIFS('Cable Data Master'!$G:$G,'Cable Data Master'!$A:$A,$BF45,'Cable Data Master'!$B:$B,$BG45,'Cable Data Master'!$C:$C,$BH45,'Cable Data Master'!$D:$D,$BI45,'Cable Data Master'!$E:$E,$BJ45,'Cable Data Master'!$F:$F,$BK45),"")</f>
        <v>0</v>
      </c>
      <c r="BO45" s="86">
        <f>IFERROR(SUMIFS('Cable Data Master'!$H:$H,'Cable Data Master'!$A:$A,$BF45,'Cable Data Master'!$B:$B,$BG45,'Cable Data Master'!$C:$C,$BH45,'Cable Data Master'!$D:$D,$BI45,'Cable Data Master'!$E:$E,$BJ45,'Cable Data Master'!$F:$F,$BK45),"")</f>
        <v>0</v>
      </c>
      <c r="BP45" s="86">
        <f>IFERROR(SUMIFS('Cable Data Master'!$I:$I,'Cable Data Master'!$A:$A,$BF45,'Cable Data Master'!$B:$B,$BG45,'Cable Data Master'!$C:$C,$BH45,'Cable Data Master'!$D:$D,$BI45,'Cable Data Master'!$E:$E,$BJ45,'Cable Data Master'!$F:$F,$BK45),"")</f>
        <v>0</v>
      </c>
      <c r="BQ45" s="86">
        <f>IFERROR(SUMIFS('Cable Data Master'!$J:$J,'Cable Data Master'!$A:$A,$BF45,'Cable Data Master'!$B:$B,$BG45,'Cable Data Master'!$C:$C,$BH45,'Cable Data Master'!$D:$D,$BI45,'Cable Data Master'!$E:$E,$BJ45,'Cable Data Master'!$F:$F,$BK45),"")</f>
        <v>0</v>
      </c>
      <c r="BR45" s="86"/>
    </row>
    <row r="46" spans="1:70" s="87" customFormat="1" ht="30" customHeight="1" x14ac:dyDescent="0.35">
      <c r="A46" s="72">
        <v>43</v>
      </c>
      <c r="B46" s="73"/>
      <c r="C46" s="73"/>
      <c r="D46" s="74">
        <v>4.5</v>
      </c>
      <c r="E46" s="74"/>
      <c r="F46" s="74" t="s">
        <v>132</v>
      </c>
      <c r="G46" s="72" t="str">
        <f>IF(OR(C46="",D46="",E46="",H46="",J46="",K46="",L46="",M46="",N46="",O46="",P46="",Q46="",R46="",S46=""),"",IFERROR(LOOKUP(2,1/(('AUTO ENGINE'!$A$2:$A$1201=ROW())*('AUTO ENGINE'!$M$2:$M$1201=1)),'AUTO ENGINE'!$B$2:$B$1201),"NO CABLE PASSES"))</f>
        <v/>
      </c>
      <c r="H46" s="73" t="s">
        <v>133</v>
      </c>
      <c r="I46" s="72">
        <f t="shared" si="42"/>
        <v>0</v>
      </c>
      <c r="J46" s="73">
        <v>1</v>
      </c>
      <c r="K46" s="73">
        <v>415</v>
      </c>
      <c r="L46" s="73">
        <v>0.53</v>
      </c>
      <c r="M46" s="73">
        <v>0.85</v>
      </c>
      <c r="N46" s="73">
        <v>0.95399999999999996</v>
      </c>
      <c r="O46" s="73"/>
      <c r="P46" s="73">
        <v>1.5</v>
      </c>
      <c r="Q46" s="73">
        <v>0.3</v>
      </c>
      <c r="R46" s="72">
        <f t="shared" si="43"/>
        <v>0</v>
      </c>
      <c r="S46" s="73">
        <v>0.2</v>
      </c>
      <c r="T46" s="72">
        <f t="shared" si="44"/>
        <v>0</v>
      </c>
      <c r="U46" s="72">
        <f t="shared" si="40"/>
        <v>0</v>
      </c>
      <c r="V46" s="72">
        <f t="shared" si="45"/>
        <v>0</v>
      </c>
      <c r="W46" s="72">
        <f t="shared" si="46"/>
        <v>0</v>
      </c>
      <c r="X46" s="72">
        <f t="shared" si="47"/>
        <v>0</v>
      </c>
      <c r="Y46" s="72">
        <f t="shared" si="48"/>
        <v>0</v>
      </c>
      <c r="Z46" s="72" t="str">
        <f t="shared" si="49"/>
        <v>PASS</v>
      </c>
      <c r="AA46" s="72">
        <f t="shared" si="50"/>
        <v>0</v>
      </c>
      <c r="AB46" s="72">
        <f t="shared" si="51"/>
        <v>0.95393920141694566</v>
      </c>
      <c r="AC46" s="72">
        <f t="shared" si="52"/>
        <v>0</v>
      </c>
      <c r="AD46" s="72">
        <f t="shared" si="53"/>
        <v>0</v>
      </c>
      <c r="AE46" s="72">
        <f t="shared" si="54"/>
        <v>0</v>
      </c>
      <c r="AF46" s="72" t="str">
        <f>IF(OR(AE46="",AD46=""),"",IF(AE46&lt;='OS-DORAEN'!$B$6,"PASS","FAIL"))</f>
        <v>PASS</v>
      </c>
      <c r="AG46" s="72">
        <f t="shared" si="55"/>
        <v>0.52678268764263703</v>
      </c>
      <c r="AH46" s="72">
        <f t="shared" si="56"/>
        <v>0</v>
      </c>
      <c r="AI46" s="72">
        <f t="shared" si="57"/>
        <v>0</v>
      </c>
      <c r="AJ46" s="72">
        <f t="shared" si="58"/>
        <v>0</v>
      </c>
      <c r="AK46" s="72" t="str">
        <f>IF(OR(AJ46="",AI46=""),"",IF(AJ46&lt;='OS-DORAEN'!$B$5,"PASS","FAIL"))</f>
        <v>PASS</v>
      </c>
      <c r="AL46" s="72" t="str">
        <f t="shared" si="59"/>
        <v/>
      </c>
      <c r="AM46" s="72" t="str">
        <f t="shared" si="60"/>
        <v/>
      </c>
      <c r="AN46" s="72" t="str">
        <f t="shared" si="61"/>
        <v/>
      </c>
      <c r="AO46" s="72" t="str">
        <f t="shared" si="62"/>
        <v>PASS</v>
      </c>
      <c r="AP46" s="72" t="str">
        <f t="shared" si="63"/>
        <v/>
      </c>
      <c r="AQ46" s="72" t="str">
        <f t="shared" si="64"/>
        <v/>
      </c>
      <c r="AR46" s="72" t="str">
        <f t="shared" si="41"/>
        <v/>
      </c>
      <c r="AS46" s="72">
        <f t="shared" si="65"/>
        <v>0</v>
      </c>
      <c r="AT46" s="72">
        <f>IF(AS46="","",IF(AS46&lt;=Lists!$J$2,Lists!$J$2,IFERROR(INDEX(Lists!$J$2:$J$28,IF(INDEX(Lists!$J$2:$J$28,MATCH(AS46,Lists!$J$2:$J$28,1))=AS46,MATCH(AS46,Lists!$J$2:$J$28,1),MATCH(AS46,Lists!$J$2:$J$28,1)+1)),"NO STANDARD CB")))</f>
        <v>16</v>
      </c>
      <c r="AU46" s="72" t="str">
        <f t="shared" si="66"/>
        <v>Manufacturer-specific adjustable trip unit</v>
      </c>
      <c r="AV46" s="72">
        <f t="shared" si="67"/>
        <v>0</v>
      </c>
      <c r="AW46" s="72" t="str">
        <f t="shared" si="68"/>
        <v>Verify manufacturer instantaneous/magnetic pickup</v>
      </c>
      <c r="AX46" s="72" t="str">
        <f t="shared" si="69"/>
        <v>VERIFY MANUFACTURER</v>
      </c>
      <c r="AY46" s="72" t="str">
        <f t="shared" si="70"/>
        <v>PASS</v>
      </c>
      <c r="AZ46" s="72" t="str">
        <f t="shared" si="71"/>
        <v>16 A MCCB; target Ir 0.0 A; manufacturer trip-unit verification required</v>
      </c>
      <c r="BA46" s="73"/>
      <c r="BB46" s="72" t="str">
        <f t="shared" si="72"/>
        <v>ENTER CB Icu/Ics</v>
      </c>
      <c r="BC46" s="72" t="str">
        <f t="shared" si="73"/>
        <v>Enter manufacturer CB Icu/Ics. Required ≥ 0.00 kA</v>
      </c>
      <c r="BD46" s="72" t="str">
        <f>IF(OR(AS46="",AT46="",AV46=""),"",IF(AND(AT46&gt;=AS46,COUNTIF(Lists!$J$2:$J$28,AT46)&gt;0,AV46&gt;=AS46,AV46&lt;=AT46),"PASS","FAIL - REVIEW MCCB FRAME/TRIP UNIT"))</f>
        <v>PASS</v>
      </c>
      <c r="BE46" s="86"/>
      <c r="BF46" s="86" t="str">
        <f t="shared" si="74"/>
        <v>XLPE</v>
      </c>
      <c r="BG46" s="86" t="str">
        <f t="shared" si="75"/>
        <v>3C</v>
      </c>
      <c r="BH46" s="86" t="str">
        <f t="shared" si="76"/>
        <v>Al</v>
      </c>
      <c r="BI46" s="86" t="str">
        <f t="shared" si="77"/>
        <v>XLPE</v>
      </c>
      <c r="BJ46" s="86" t="str">
        <f t="shared" si="78"/>
        <v>Armoured</v>
      </c>
      <c r="BK46" s="86" t="str">
        <f t="shared" si="79"/>
        <v/>
      </c>
      <c r="BL46" s="86">
        <f>IFERROR(SUMIFS('Cable Data Master'!$K:$K,'Cable Data Master'!$A:$A,$BF46,'Cable Data Master'!$B:$B,$BG46,'Cable Data Master'!$C:$C,$BH46,'Cable Data Master'!$D:$D,$BI46,'Cable Data Master'!$E:$E,$BJ46,'Cable Data Master'!$F:$F,$BK46),"")</f>
        <v>0</v>
      </c>
      <c r="BM46" s="86">
        <f>IFERROR(SUMIFS('Cable Data Master'!$L:$L,'Cable Data Master'!$A:$A,$BF46,'Cable Data Master'!$B:$B,$BG46,'Cable Data Master'!$C:$C,$BH46,'Cable Data Master'!$D:$D,$BI46,'Cable Data Master'!$E:$E,$BJ46,'Cable Data Master'!$F:$F,$BK46),"")</f>
        <v>0</v>
      </c>
      <c r="BN46" s="86">
        <f>IFERROR(SUMIFS('Cable Data Master'!$G:$G,'Cable Data Master'!$A:$A,$BF46,'Cable Data Master'!$B:$B,$BG46,'Cable Data Master'!$C:$C,$BH46,'Cable Data Master'!$D:$D,$BI46,'Cable Data Master'!$E:$E,$BJ46,'Cable Data Master'!$F:$F,$BK46),"")</f>
        <v>0</v>
      </c>
      <c r="BO46" s="86">
        <f>IFERROR(SUMIFS('Cable Data Master'!$H:$H,'Cable Data Master'!$A:$A,$BF46,'Cable Data Master'!$B:$B,$BG46,'Cable Data Master'!$C:$C,$BH46,'Cable Data Master'!$D:$D,$BI46,'Cable Data Master'!$E:$E,$BJ46,'Cable Data Master'!$F:$F,$BK46),"")</f>
        <v>0</v>
      </c>
      <c r="BP46" s="86">
        <f>IFERROR(SUMIFS('Cable Data Master'!$I:$I,'Cable Data Master'!$A:$A,$BF46,'Cable Data Master'!$B:$B,$BG46,'Cable Data Master'!$C:$C,$BH46,'Cable Data Master'!$D:$D,$BI46,'Cable Data Master'!$E:$E,$BJ46,'Cable Data Master'!$F:$F,$BK46),"")</f>
        <v>0</v>
      </c>
      <c r="BQ46" s="86">
        <f>IFERROR(SUMIFS('Cable Data Master'!$J:$J,'Cable Data Master'!$A:$A,$BF46,'Cable Data Master'!$B:$B,$BG46,'Cable Data Master'!$C:$C,$BH46,'Cable Data Master'!$D:$D,$BI46,'Cable Data Master'!$E:$E,$BJ46,'Cable Data Master'!$F:$F,$BK46),"")</f>
        <v>0</v>
      </c>
      <c r="BR46" s="86"/>
    </row>
    <row r="47" spans="1:70" s="87" customFormat="1" ht="30" customHeight="1" x14ac:dyDescent="0.35">
      <c r="A47" s="72">
        <v>44</v>
      </c>
      <c r="B47" s="73"/>
      <c r="C47" s="73"/>
      <c r="D47" s="74">
        <v>4.5</v>
      </c>
      <c r="E47" s="74"/>
      <c r="F47" s="74" t="s">
        <v>132</v>
      </c>
      <c r="G47" s="72" t="str">
        <f>IF(OR(C47="",D47="",E47="",H47="",J47="",K47="",L47="",M47="",N47="",O47="",P47="",Q47="",R47="",S47=""),"",IFERROR(LOOKUP(2,1/(('AUTO ENGINE'!$A$2:$A$1201=ROW())*('AUTO ENGINE'!$M$2:$M$1201=1)),'AUTO ENGINE'!$B$2:$B$1201),"NO CABLE PASSES"))</f>
        <v/>
      </c>
      <c r="H47" s="73" t="s">
        <v>133</v>
      </c>
      <c r="I47" s="72">
        <f t="shared" si="42"/>
        <v>0</v>
      </c>
      <c r="J47" s="73">
        <v>1</v>
      </c>
      <c r="K47" s="73">
        <v>415</v>
      </c>
      <c r="L47" s="73">
        <v>0.53</v>
      </c>
      <c r="M47" s="73">
        <v>0.85</v>
      </c>
      <c r="N47" s="73">
        <v>0.95399999999999996</v>
      </c>
      <c r="O47" s="73"/>
      <c r="P47" s="73">
        <v>1.5</v>
      </c>
      <c r="Q47" s="73">
        <v>0.3</v>
      </c>
      <c r="R47" s="72">
        <f t="shared" si="43"/>
        <v>0</v>
      </c>
      <c r="S47" s="73">
        <v>0.2</v>
      </c>
      <c r="T47" s="72">
        <f t="shared" si="44"/>
        <v>0</v>
      </c>
      <c r="U47" s="72">
        <f t="shared" si="40"/>
        <v>0</v>
      </c>
      <c r="V47" s="72">
        <f t="shared" si="45"/>
        <v>0</v>
      </c>
      <c r="W47" s="72">
        <f t="shared" si="46"/>
        <v>0</v>
      </c>
      <c r="X47" s="72">
        <f t="shared" si="47"/>
        <v>0</v>
      </c>
      <c r="Y47" s="72">
        <f t="shared" si="48"/>
        <v>0</v>
      </c>
      <c r="Z47" s="72" t="str">
        <f t="shared" si="49"/>
        <v>PASS</v>
      </c>
      <c r="AA47" s="72">
        <f t="shared" si="50"/>
        <v>0</v>
      </c>
      <c r="AB47" s="72">
        <f t="shared" si="51"/>
        <v>0.95393920141694566</v>
      </c>
      <c r="AC47" s="72">
        <f t="shared" si="52"/>
        <v>0</v>
      </c>
      <c r="AD47" s="72">
        <f t="shared" si="53"/>
        <v>0</v>
      </c>
      <c r="AE47" s="72">
        <f t="shared" si="54"/>
        <v>0</v>
      </c>
      <c r="AF47" s="72" t="str">
        <f>IF(OR(AE47="",AD47=""),"",IF(AE47&lt;='OS-DORAEN'!$B$6,"PASS","FAIL"))</f>
        <v>PASS</v>
      </c>
      <c r="AG47" s="72">
        <f t="shared" si="55"/>
        <v>0.52678268764263703</v>
      </c>
      <c r="AH47" s="72">
        <f t="shared" si="56"/>
        <v>0</v>
      </c>
      <c r="AI47" s="72">
        <f t="shared" si="57"/>
        <v>0</v>
      </c>
      <c r="AJ47" s="72">
        <f t="shared" si="58"/>
        <v>0</v>
      </c>
      <c r="AK47" s="72" t="str">
        <f>IF(OR(AJ47="",AI47=""),"",IF(AJ47&lt;='OS-DORAEN'!$B$5,"PASS","FAIL"))</f>
        <v>PASS</v>
      </c>
      <c r="AL47" s="72" t="str">
        <f t="shared" si="59"/>
        <v/>
      </c>
      <c r="AM47" s="72" t="str">
        <f t="shared" si="60"/>
        <v/>
      </c>
      <c r="AN47" s="72" t="str">
        <f t="shared" si="61"/>
        <v/>
      </c>
      <c r="AO47" s="72" t="str">
        <f t="shared" si="62"/>
        <v>PASS</v>
      </c>
      <c r="AP47" s="72" t="str">
        <f t="shared" si="63"/>
        <v/>
      </c>
      <c r="AQ47" s="72" t="str">
        <f t="shared" si="64"/>
        <v/>
      </c>
      <c r="AR47" s="72" t="str">
        <f t="shared" si="41"/>
        <v/>
      </c>
      <c r="AS47" s="72">
        <f t="shared" si="65"/>
        <v>0</v>
      </c>
      <c r="AT47" s="72">
        <f>IF(AS47="","",IF(AS47&lt;=Lists!$J$2,Lists!$J$2,IFERROR(INDEX(Lists!$J$2:$J$28,IF(INDEX(Lists!$J$2:$J$28,MATCH(AS47,Lists!$J$2:$J$28,1))=AS47,MATCH(AS47,Lists!$J$2:$J$28,1),MATCH(AS47,Lists!$J$2:$J$28,1)+1)),"NO STANDARD CB")))</f>
        <v>16</v>
      </c>
      <c r="AU47" s="72" t="str">
        <f t="shared" si="66"/>
        <v>Manufacturer-specific adjustable trip unit</v>
      </c>
      <c r="AV47" s="72">
        <f t="shared" si="67"/>
        <v>0</v>
      </c>
      <c r="AW47" s="72" t="str">
        <f t="shared" si="68"/>
        <v>Verify manufacturer instantaneous/magnetic pickup</v>
      </c>
      <c r="AX47" s="72" t="str">
        <f t="shared" si="69"/>
        <v>VERIFY MANUFACTURER</v>
      </c>
      <c r="AY47" s="72" t="str">
        <f t="shared" si="70"/>
        <v>PASS</v>
      </c>
      <c r="AZ47" s="72" t="str">
        <f t="shared" si="71"/>
        <v>16 A MCCB; target Ir 0.0 A; manufacturer trip-unit verification required</v>
      </c>
      <c r="BA47" s="73"/>
      <c r="BB47" s="72" t="str">
        <f t="shared" si="72"/>
        <v>ENTER CB Icu/Ics</v>
      </c>
      <c r="BC47" s="72" t="str">
        <f t="shared" si="73"/>
        <v>Enter manufacturer CB Icu/Ics. Required ≥ 0.00 kA</v>
      </c>
      <c r="BD47" s="72" t="str">
        <f>IF(OR(AS47="",AT47="",AV47=""),"",IF(AND(AT47&gt;=AS47,COUNTIF(Lists!$J$2:$J$28,AT47)&gt;0,AV47&gt;=AS47,AV47&lt;=AT47),"PASS","FAIL - REVIEW MCCB FRAME/TRIP UNIT"))</f>
        <v>PASS</v>
      </c>
      <c r="BE47" s="86"/>
      <c r="BF47" s="86" t="str">
        <f t="shared" si="74"/>
        <v>XLPE</v>
      </c>
      <c r="BG47" s="86" t="str">
        <f t="shared" si="75"/>
        <v>3C</v>
      </c>
      <c r="BH47" s="86" t="str">
        <f t="shared" si="76"/>
        <v>Al</v>
      </c>
      <c r="BI47" s="86" t="str">
        <f t="shared" si="77"/>
        <v>XLPE</v>
      </c>
      <c r="BJ47" s="86" t="str">
        <f t="shared" si="78"/>
        <v>Armoured</v>
      </c>
      <c r="BK47" s="86" t="str">
        <f t="shared" si="79"/>
        <v/>
      </c>
      <c r="BL47" s="86">
        <f>IFERROR(SUMIFS('Cable Data Master'!$K:$K,'Cable Data Master'!$A:$A,$BF47,'Cable Data Master'!$B:$B,$BG47,'Cable Data Master'!$C:$C,$BH47,'Cable Data Master'!$D:$D,$BI47,'Cable Data Master'!$E:$E,$BJ47,'Cable Data Master'!$F:$F,$BK47),"")</f>
        <v>0</v>
      </c>
      <c r="BM47" s="86">
        <f>IFERROR(SUMIFS('Cable Data Master'!$L:$L,'Cable Data Master'!$A:$A,$BF47,'Cable Data Master'!$B:$B,$BG47,'Cable Data Master'!$C:$C,$BH47,'Cable Data Master'!$D:$D,$BI47,'Cable Data Master'!$E:$E,$BJ47,'Cable Data Master'!$F:$F,$BK47),"")</f>
        <v>0</v>
      </c>
      <c r="BN47" s="86">
        <f>IFERROR(SUMIFS('Cable Data Master'!$G:$G,'Cable Data Master'!$A:$A,$BF47,'Cable Data Master'!$B:$B,$BG47,'Cable Data Master'!$C:$C,$BH47,'Cable Data Master'!$D:$D,$BI47,'Cable Data Master'!$E:$E,$BJ47,'Cable Data Master'!$F:$F,$BK47),"")</f>
        <v>0</v>
      </c>
      <c r="BO47" s="86">
        <f>IFERROR(SUMIFS('Cable Data Master'!$H:$H,'Cable Data Master'!$A:$A,$BF47,'Cable Data Master'!$B:$B,$BG47,'Cable Data Master'!$C:$C,$BH47,'Cable Data Master'!$D:$D,$BI47,'Cable Data Master'!$E:$E,$BJ47,'Cable Data Master'!$F:$F,$BK47),"")</f>
        <v>0</v>
      </c>
      <c r="BP47" s="86">
        <f>IFERROR(SUMIFS('Cable Data Master'!$I:$I,'Cable Data Master'!$A:$A,$BF47,'Cable Data Master'!$B:$B,$BG47,'Cable Data Master'!$C:$C,$BH47,'Cable Data Master'!$D:$D,$BI47,'Cable Data Master'!$E:$E,$BJ47,'Cable Data Master'!$F:$F,$BK47),"")</f>
        <v>0</v>
      </c>
      <c r="BQ47" s="86">
        <f>IFERROR(SUMIFS('Cable Data Master'!$J:$J,'Cable Data Master'!$A:$A,$BF47,'Cable Data Master'!$B:$B,$BG47,'Cable Data Master'!$C:$C,$BH47,'Cable Data Master'!$D:$D,$BI47,'Cable Data Master'!$E:$E,$BJ47,'Cable Data Master'!$F:$F,$BK47),"")</f>
        <v>0</v>
      </c>
      <c r="BR47" s="86"/>
    </row>
    <row r="48" spans="1:70" s="87" customFormat="1" ht="30" customHeight="1" x14ac:dyDescent="0.35">
      <c r="A48" s="72">
        <v>45</v>
      </c>
      <c r="B48" s="73"/>
      <c r="C48" s="73"/>
      <c r="D48" s="74">
        <v>4.5</v>
      </c>
      <c r="E48" s="74"/>
      <c r="F48" s="74" t="s">
        <v>132</v>
      </c>
      <c r="G48" s="72" t="str">
        <f>IF(OR(C48="",D48="",E48="",H48="",J48="",K48="",L48="",M48="",N48="",O48="",P48="",Q48="",R48="",S48=""),"",IFERROR(LOOKUP(2,1/(('AUTO ENGINE'!$A$2:$A$1201=ROW())*('AUTO ENGINE'!$M$2:$M$1201=1)),'AUTO ENGINE'!$B$2:$B$1201),"NO CABLE PASSES"))</f>
        <v/>
      </c>
      <c r="H48" s="73" t="s">
        <v>133</v>
      </c>
      <c r="I48" s="72">
        <f t="shared" si="42"/>
        <v>0</v>
      </c>
      <c r="J48" s="73">
        <v>1</v>
      </c>
      <c r="K48" s="73">
        <v>415</v>
      </c>
      <c r="L48" s="73">
        <v>0.53</v>
      </c>
      <c r="M48" s="73">
        <v>0.85</v>
      </c>
      <c r="N48" s="73">
        <v>0.95399999999999996</v>
      </c>
      <c r="O48" s="73"/>
      <c r="P48" s="73">
        <v>1.5</v>
      </c>
      <c r="Q48" s="73">
        <v>0.3</v>
      </c>
      <c r="R48" s="72">
        <f t="shared" si="43"/>
        <v>0</v>
      </c>
      <c r="S48" s="73">
        <v>0.2</v>
      </c>
      <c r="T48" s="72">
        <f t="shared" si="44"/>
        <v>0</v>
      </c>
      <c r="U48" s="72">
        <f t="shared" si="40"/>
        <v>0</v>
      </c>
      <c r="V48" s="72">
        <f t="shared" si="45"/>
        <v>0</v>
      </c>
      <c r="W48" s="72">
        <f t="shared" si="46"/>
        <v>0</v>
      </c>
      <c r="X48" s="72">
        <f t="shared" si="47"/>
        <v>0</v>
      </c>
      <c r="Y48" s="72">
        <f t="shared" si="48"/>
        <v>0</v>
      </c>
      <c r="Z48" s="72" t="str">
        <f t="shared" si="49"/>
        <v>PASS</v>
      </c>
      <c r="AA48" s="72">
        <f t="shared" si="50"/>
        <v>0</v>
      </c>
      <c r="AB48" s="72">
        <f t="shared" si="51"/>
        <v>0.95393920141694566</v>
      </c>
      <c r="AC48" s="72">
        <f t="shared" si="52"/>
        <v>0</v>
      </c>
      <c r="AD48" s="72">
        <f t="shared" si="53"/>
        <v>0</v>
      </c>
      <c r="AE48" s="72">
        <f t="shared" si="54"/>
        <v>0</v>
      </c>
      <c r="AF48" s="72" t="str">
        <f>IF(OR(AE48="",AD48=""),"",IF(AE48&lt;='OS-DORAEN'!$B$6,"PASS","FAIL"))</f>
        <v>PASS</v>
      </c>
      <c r="AG48" s="72">
        <f t="shared" si="55"/>
        <v>0.52678268764263703</v>
      </c>
      <c r="AH48" s="72">
        <f t="shared" si="56"/>
        <v>0</v>
      </c>
      <c r="AI48" s="72">
        <f t="shared" si="57"/>
        <v>0</v>
      </c>
      <c r="AJ48" s="72">
        <f t="shared" si="58"/>
        <v>0</v>
      </c>
      <c r="AK48" s="72" t="str">
        <f>IF(OR(AJ48="",AI48=""),"",IF(AJ48&lt;='OS-DORAEN'!$B$5,"PASS","FAIL"))</f>
        <v>PASS</v>
      </c>
      <c r="AL48" s="72" t="str">
        <f t="shared" si="59"/>
        <v/>
      </c>
      <c r="AM48" s="72" t="str">
        <f t="shared" si="60"/>
        <v/>
      </c>
      <c r="AN48" s="72" t="str">
        <f t="shared" si="61"/>
        <v/>
      </c>
      <c r="AO48" s="72" t="str">
        <f t="shared" si="62"/>
        <v>PASS</v>
      </c>
      <c r="AP48" s="72" t="str">
        <f t="shared" si="63"/>
        <v/>
      </c>
      <c r="AQ48" s="72" t="str">
        <f t="shared" si="64"/>
        <v/>
      </c>
      <c r="AR48" s="72" t="str">
        <f t="shared" si="41"/>
        <v/>
      </c>
      <c r="AS48" s="72">
        <f t="shared" si="65"/>
        <v>0</v>
      </c>
      <c r="AT48" s="72">
        <f>IF(AS48="","",IF(AS48&lt;=Lists!$J$2,Lists!$J$2,IFERROR(INDEX(Lists!$J$2:$J$28,IF(INDEX(Lists!$J$2:$J$28,MATCH(AS48,Lists!$J$2:$J$28,1))=AS48,MATCH(AS48,Lists!$J$2:$J$28,1),MATCH(AS48,Lists!$J$2:$J$28,1)+1)),"NO STANDARD CB")))</f>
        <v>16</v>
      </c>
      <c r="AU48" s="72" t="str">
        <f t="shared" si="66"/>
        <v>Manufacturer-specific adjustable trip unit</v>
      </c>
      <c r="AV48" s="72">
        <f t="shared" si="67"/>
        <v>0</v>
      </c>
      <c r="AW48" s="72" t="str">
        <f t="shared" si="68"/>
        <v>Verify manufacturer instantaneous/magnetic pickup</v>
      </c>
      <c r="AX48" s="72" t="str">
        <f t="shared" si="69"/>
        <v>VERIFY MANUFACTURER</v>
      </c>
      <c r="AY48" s="72" t="str">
        <f t="shared" si="70"/>
        <v>PASS</v>
      </c>
      <c r="AZ48" s="72" t="str">
        <f t="shared" si="71"/>
        <v>16 A MCCB; target Ir 0.0 A; manufacturer trip-unit verification required</v>
      </c>
      <c r="BA48" s="73"/>
      <c r="BB48" s="72" t="str">
        <f t="shared" si="72"/>
        <v>ENTER CB Icu/Ics</v>
      </c>
      <c r="BC48" s="72" t="str">
        <f t="shared" si="73"/>
        <v>Enter manufacturer CB Icu/Ics. Required ≥ 0.00 kA</v>
      </c>
      <c r="BD48" s="72" t="str">
        <f>IF(OR(AS48="",AT48="",AV48=""),"",IF(AND(AT48&gt;=AS48,COUNTIF(Lists!$J$2:$J$28,AT48)&gt;0,AV48&gt;=AS48,AV48&lt;=AT48),"PASS","FAIL - REVIEW MCCB FRAME/TRIP UNIT"))</f>
        <v>PASS</v>
      </c>
      <c r="BE48" s="86"/>
      <c r="BF48" s="86" t="str">
        <f t="shared" si="74"/>
        <v>XLPE</v>
      </c>
      <c r="BG48" s="86" t="str">
        <f t="shared" si="75"/>
        <v>3C</v>
      </c>
      <c r="BH48" s="86" t="str">
        <f t="shared" si="76"/>
        <v>Al</v>
      </c>
      <c r="BI48" s="86" t="str">
        <f t="shared" si="77"/>
        <v>XLPE</v>
      </c>
      <c r="BJ48" s="86" t="str">
        <f t="shared" si="78"/>
        <v>Armoured</v>
      </c>
      <c r="BK48" s="86" t="str">
        <f t="shared" si="79"/>
        <v/>
      </c>
      <c r="BL48" s="86">
        <f>IFERROR(SUMIFS('Cable Data Master'!$K:$K,'Cable Data Master'!$A:$A,$BF48,'Cable Data Master'!$B:$B,$BG48,'Cable Data Master'!$C:$C,$BH48,'Cable Data Master'!$D:$D,$BI48,'Cable Data Master'!$E:$E,$BJ48,'Cable Data Master'!$F:$F,$BK48),"")</f>
        <v>0</v>
      </c>
      <c r="BM48" s="86">
        <f>IFERROR(SUMIFS('Cable Data Master'!$L:$L,'Cable Data Master'!$A:$A,$BF48,'Cable Data Master'!$B:$B,$BG48,'Cable Data Master'!$C:$C,$BH48,'Cable Data Master'!$D:$D,$BI48,'Cable Data Master'!$E:$E,$BJ48,'Cable Data Master'!$F:$F,$BK48),"")</f>
        <v>0</v>
      </c>
      <c r="BN48" s="86">
        <f>IFERROR(SUMIFS('Cable Data Master'!$G:$G,'Cable Data Master'!$A:$A,$BF48,'Cable Data Master'!$B:$B,$BG48,'Cable Data Master'!$C:$C,$BH48,'Cable Data Master'!$D:$D,$BI48,'Cable Data Master'!$E:$E,$BJ48,'Cable Data Master'!$F:$F,$BK48),"")</f>
        <v>0</v>
      </c>
      <c r="BO48" s="86">
        <f>IFERROR(SUMIFS('Cable Data Master'!$H:$H,'Cable Data Master'!$A:$A,$BF48,'Cable Data Master'!$B:$B,$BG48,'Cable Data Master'!$C:$C,$BH48,'Cable Data Master'!$D:$D,$BI48,'Cable Data Master'!$E:$E,$BJ48,'Cable Data Master'!$F:$F,$BK48),"")</f>
        <v>0</v>
      </c>
      <c r="BP48" s="86">
        <f>IFERROR(SUMIFS('Cable Data Master'!$I:$I,'Cable Data Master'!$A:$A,$BF48,'Cable Data Master'!$B:$B,$BG48,'Cable Data Master'!$C:$C,$BH48,'Cable Data Master'!$D:$D,$BI48,'Cable Data Master'!$E:$E,$BJ48,'Cable Data Master'!$F:$F,$BK48),"")</f>
        <v>0</v>
      </c>
      <c r="BQ48" s="86">
        <f>IFERROR(SUMIFS('Cable Data Master'!$J:$J,'Cable Data Master'!$A:$A,$BF48,'Cable Data Master'!$B:$B,$BG48,'Cable Data Master'!$C:$C,$BH48,'Cable Data Master'!$D:$D,$BI48,'Cable Data Master'!$E:$E,$BJ48,'Cable Data Master'!$F:$F,$BK48),"")</f>
        <v>0</v>
      </c>
      <c r="BR48" s="86"/>
    </row>
    <row r="49" spans="1:70" s="87" customFormat="1" ht="30" customHeight="1" x14ac:dyDescent="0.35">
      <c r="A49" s="72">
        <v>46</v>
      </c>
      <c r="B49" s="73"/>
      <c r="C49" s="73"/>
      <c r="D49" s="74">
        <v>4.5</v>
      </c>
      <c r="E49" s="74"/>
      <c r="F49" s="74" t="s">
        <v>132</v>
      </c>
      <c r="G49" s="72" t="str">
        <f>IF(OR(C49="",D49="",E49="",H49="",J49="",K49="",L49="",M49="",N49="",O49="",P49="",Q49="",R49="",S49=""),"",IFERROR(LOOKUP(2,1/(('AUTO ENGINE'!$A$2:$A$1201=ROW())*('AUTO ENGINE'!$M$2:$M$1201=1)),'AUTO ENGINE'!$B$2:$B$1201),"NO CABLE PASSES"))</f>
        <v/>
      </c>
      <c r="H49" s="73" t="s">
        <v>133</v>
      </c>
      <c r="I49" s="72">
        <f t="shared" si="42"/>
        <v>0</v>
      </c>
      <c r="J49" s="73">
        <v>1</v>
      </c>
      <c r="K49" s="73">
        <v>415</v>
      </c>
      <c r="L49" s="73">
        <v>0.53</v>
      </c>
      <c r="M49" s="73">
        <v>0.85</v>
      </c>
      <c r="N49" s="73">
        <v>0.95399999999999996</v>
      </c>
      <c r="O49" s="73"/>
      <c r="P49" s="73">
        <v>1.5</v>
      </c>
      <c r="Q49" s="73">
        <v>0.3</v>
      </c>
      <c r="R49" s="72">
        <f t="shared" si="43"/>
        <v>0</v>
      </c>
      <c r="S49" s="73">
        <v>0.2</v>
      </c>
      <c r="T49" s="72">
        <f t="shared" si="44"/>
        <v>0</v>
      </c>
      <c r="U49" s="72">
        <f t="shared" ref="U49:U80" si="80">IFERROR(E49*1000/(SQRT(3)*K49*M49*N49),"")</f>
        <v>0</v>
      </c>
      <c r="V49" s="72">
        <f t="shared" si="45"/>
        <v>0</v>
      </c>
      <c r="W49" s="72">
        <f t="shared" si="46"/>
        <v>0</v>
      </c>
      <c r="X49" s="72">
        <f t="shared" si="47"/>
        <v>0</v>
      </c>
      <c r="Y49" s="72">
        <f t="shared" si="48"/>
        <v>0</v>
      </c>
      <c r="Z49" s="72" t="str">
        <f t="shared" si="49"/>
        <v>PASS</v>
      </c>
      <c r="AA49" s="72">
        <f t="shared" si="50"/>
        <v>0</v>
      </c>
      <c r="AB49" s="72">
        <f t="shared" si="51"/>
        <v>0.95393920141694566</v>
      </c>
      <c r="AC49" s="72">
        <f t="shared" si="52"/>
        <v>0</v>
      </c>
      <c r="AD49" s="72">
        <f t="shared" si="53"/>
        <v>0</v>
      </c>
      <c r="AE49" s="72">
        <f t="shared" si="54"/>
        <v>0</v>
      </c>
      <c r="AF49" s="72" t="str">
        <f>IF(OR(AE49="",AD49=""),"",IF(AE49&lt;='OS-DORAEN'!$B$6,"PASS","FAIL"))</f>
        <v>PASS</v>
      </c>
      <c r="AG49" s="72">
        <f t="shared" si="55"/>
        <v>0.52678268764263703</v>
      </c>
      <c r="AH49" s="72">
        <f t="shared" si="56"/>
        <v>0</v>
      </c>
      <c r="AI49" s="72">
        <f t="shared" si="57"/>
        <v>0</v>
      </c>
      <c r="AJ49" s="72">
        <f t="shared" si="58"/>
        <v>0</v>
      </c>
      <c r="AK49" s="72" t="str">
        <f>IF(OR(AJ49="",AI49=""),"",IF(AJ49&lt;='OS-DORAEN'!$B$5,"PASS","FAIL"))</f>
        <v>PASS</v>
      </c>
      <c r="AL49" s="72" t="str">
        <f t="shared" si="59"/>
        <v/>
      </c>
      <c r="AM49" s="72" t="str">
        <f t="shared" si="60"/>
        <v/>
      </c>
      <c r="AN49" s="72" t="str">
        <f t="shared" si="61"/>
        <v/>
      </c>
      <c r="AO49" s="72" t="str">
        <f t="shared" si="62"/>
        <v>PASS</v>
      </c>
      <c r="AP49" s="72" t="str">
        <f t="shared" si="63"/>
        <v/>
      </c>
      <c r="AQ49" s="72" t="str">
        <f t="shared" si="64"/>
        <v/>
      </c>
      <c r="AR49" s="72" t="str">
        <f t="shared" ref="AR49:AR80" si="81">IF(OR(B49="",E49=""),"","MCCB")</f>
        <v/>
      </c>
      <c r="AS49" s="72">
        <f t="shared" si="65"/>
        <v>0</v>
      </c>
      <c r="AT49" s="72">
        <f>IF(AS49="","",IF(AS49&lt;=Lists!$J$2,Lists!$J$2,IFERROR(INDEX(Lists!$J$2:$J$28,IF(INDEX(Lists!$J$2:$J$28,MATCH(AS49,Lists!$J$2:$J$28,1))=AS49,MATCH(AS49,Lists!$J$2:$J$28,1),MATCH(AS49,Lists!$J$2:$J$28,1)+1)),"NO STANDARD CB")))</f>
        <v>16</v>
      </c>
      <c r="AU49" s="72" t="str">
        <f t="shared" si="66"/>
        <v>Manufacturer-specific adjustable trip unit</v>
      </c>
      <c r="AV49" s="72">
        <f t="shared" si="67"/>
        <v>0</v>
      </c>
      <c r="AW49" s="72" t="str">
        <f t="shared" si="68"/>
        <v>Verify manufacturer instantaneous/magnetic pickup</v>
      </c>
      <c r="AX49" s="72" t="str">
        <f t="shared" si="69"/>
        <v>VERIFY MANUFACTURER</v>
      </c>
      <c r="AY49" s="72" t="str">
        <f t="shared" si="70"/>
        <v>PASS</v>
      </c>
      <c r="AZ49" s="72" t="str">
        <f t="shared" si="71"/>
        <v>16 A MCCB; target Ir 0.0 A; manufacturer trip-unit verification required</v>
      </c>
      <c r="BA49" s="73"/>
      <c r="BB49" s="72" t="str">
        <f t="shared" si="72"/>
        <v>ENTER CB Icu/Ics</v>
      </c>
      <c r="BC49" s="72" t="str">
        <f t="shared" si="73"/>
        <v>Enter manufacturer CB Icu/Ics. Required ≥ 0.00 kA</v>
      </c>
      <c r="BD49" s="72" t="str">
        <f>IF(OR(AS49="",AT49="",AV49=""),"",IF(AND(AT49&gt;=AS49,COUNTIF(Lists!$J$2:$J$28,AT49)&gt;0,AV49&gt;=AS49,AV49&lt;=AT49),"PASS","FAIL - REVIEW MCCB FRAME/TRIP UNIT"))</f>
        <v>PASS</v>
      </c>
      <c r="BE49" s="86"/>
      <c r="BF49" s="86" t="str">
        <f t="shared" si="74"/>
        <v>XLPE</v>
      </c>
      <c r="BG49" s="86" t="str">
        <f t="shared" si="75"/>
        <v>3C</v>
      </c>
      <c r="BH49" s="86" t="str">
        <f t="shared" si="76"/>
        <v>Al</v>
      </c>
      <c r="BI49" s="86" t="str">
        <f t="shared" si="77"/>
        <v>XLPE</v>
      </c>
      <c r="BJ49" s="86" t="str">
        <f t="shared" si="78"/>
        <v>Armoured</v>
      </c>
      <c r="BK49" s="86" t="str">
        <f t="shared" si="79"/>
        <v/>
      </c>
      <c r="BL49" s="86">
        <f>IFERROR(SUMIFS('Cable Data Master'!$K:$K,'Cable Data Master'!$A:$A,$BF49,'Cable Data Master'!$B:$B,$BG49,'Cable Data Master'!$C:$C,$BH49,'Cable Data Master'!$D:$D,$BI49,'Cable Data Master'!$E:$E,$BJ49,'Cable Data Master'!$F:$F,$BK49),"")</f>
        <v>0</v>
      </c>
      <c r="BM49" s="86">
        <f>IFERROR(SUMIFS('Cable Data Master'!$L:$L,'Cable Data Master'!$A:$A,$BF49,'Cable Data Master'!$B:$B,$BG49,'Cable Data Master'!$C:$C,$BH49,'Cable Data Master'!$D:$D,$BI49,'Cable Data Master'!$E:$E,$BJ49,'Cable Data Master'!$F:$F,$BK49),"")</f>
        <v>0</v>
      </c>
      <c r="BN49" s="86">
        <f>IFERROR(SUMIFS('Cable Data Master'!$G:$G,'Cable Data Master'!$A:$A,$BF49,'Cable Data Master'!$B:$B,$BG49,'Cable Data Master'!$C:$C,$BH49,'Cable Data Master'!$D:$D,$BI49,'Cable Data Master'!$E:$E,$BJ49,'Cable Data Master'!$F:$F,$BK49),"")</f>
        <v>0</v>
      </c>
      <c r="BO49" s="86">
        <f>IFERROR(SUMIFS('Cable Data Master'!$H:$H,'Cable Data Master'!$A:$A,$BF49,'Cable Data Master'!$B:$B,$BG49,'Cable Data Master'!$C:$C,$BH49,'Cable Data Master'!$D:$D,$BI49,'Cable Data Master'!$E:$E,$BJ49,'Cable Data Master'!$F:$F,$BK49),"")</f>
        <v>0</v>
      </c>
      <c r="BP49" s="86">
        <f>IFERROR(SUMIFS('Cable Data Master'!$I:$I,'Cable Data Master'!$A:$A,$BF49,'Cable Data Master'!$B:$B,$BG49,'Cable Data Master'!$C:$C,$BH49,'Cable Data Master'!$D:$D,$BI49,'Cable Data Master'!$E:$E,$BJ49,'Cable Data Master'!$F:$F,$BK49),"")</f>
        <v>0</v>
      </c>
      <c r="BQ49" s="86">
        <f>IFERROR(SUMIFS('Cable Data Master'!$J:$J,'Cable Data Master'!$A:$A,$BF49,'Cable Data Master'!$B:$B,$BG49,'Cable Data Master'!$C:$C,$BH49,'Cable Data Master'!$D:$D,$BI49,'Cable Data Master'!$E:$E,$BJ49,'Cable Data Master'!$F:$F,$BK49),"")</f>
        <v>0</v>
      </c>
      <c r="BR49" s="86"/>
    </row>
    <row r="50" spans="1:70" s="87" customFormat="1" ht="30" customHeight="1" x14ac:dyDescent="0.35">
      <c r="A50" s="72">
        <v>47</v>
      </c>
      <c r="B50" s="73"/>
      <c r="C50" s="73"/>
      <c r="D50" s="74">
        <v>4.5</v>
      </c>
      <c r="E50" s="74"/>
      <c r="F50" s="74" t="s">
        <v>132</v>
      </c>
      <c r="G50" s="72" t="str">
        <f>IF(OR(C50="",D50="",E50="",H50="",J50="",K50="",L50="",M50="",N50="",O50="",P50="",Q50="",R50="",S50=""),"",IFERROR(LOOKUP(2,1/(('AUTO ENGINE'!$A$2:$A$1201=ROW())*('AUTO ENGINE'!$M$2:$M$1201=1)),'AUTO ENGINE'!$B$2:$B$1201),"NO CABLE PASSES"))</f>
        <v/>
      </c>
      <c r="H50" s="73" t="s">
        <v>133</v>
      </c>
      <c r="I50" s="72">
        <f t="shared" si="42"/>
        <v>0</v>
      </c>
      <c r="J50" s="73">
        <v>1</v>
      </c>
      <c r="K50" s="73">
        <v>415</v>
      </c>
      <c r="L50" s="73">
        <v>0.53</v>
      </c>
      <c r="M50" s="73">
        <v>0.85</v>
      </c>
      <c r="N50" s="73">
        <v>0.95399999999999996</v>
      </c>
      <c r="O50" s="73"/>
      <c r="P50" s="73">
        <v>1.5</v>
      </c>
      <c r="Q50" s="73">
        <v>0.3</v>
      </c>
      <c r="R50" s="72">
        <f t="shared" si="43"/>
        <v>0</v>
      </c>
      <c r="S50" s="73">
        <v>0.2</v>
      </c>
      <c r="T50" s="72">
        <f t="shared" si="44"/>
        <v>0</v>
      </c>
      <c r="U50" s="72">
        <f t="shared" si="80"/>
        <v>0</v>
      </c>
      <c r="V50" s="72">
        <f t="shared" si="45"/>
        <v>0</v>
      </c>
      <c r="W50" s="72">
        <f t="shared" si="46"/>
        <v>0</v>
      </c>
      <c r="X50" s="72">
        <f t="shared" si="47"/>
        <v>0</v>
      </c>
      <c r="Y50" s="72">
        <f t="shared" si="48"/>
        <v>0</v>
      </c>
      <c r="Z50" s="72" t="str">
        <f t="shared" si="49"/>
        <v>PASS</v>
      </c>
      <c r="AA50" s="72">
        <f t="shared" si="50"/>
        <v>0</v>
      </c>
      <c r="AB50" s="72">
        <f t="shared" si="51"/>
        <v>0.95393920141694566</v>
      </c>
      <c r="AC50" s="72">
        <f t="shared" si="52"/>
        <v>0</v>
      </c>
      <c r="AD50" s="72">
        <f t="shared" si="53"/>
        <v>0</v>
      </c>
      <c r="AE50" s="72">
        <f t="shared" si="54"/>
        <v>0</v>
      </c>
      <c r="AF50" s="72" t="str">
        <f>IF(OR(AE50="",AD50=""),"",IF(AE50&lt;='OS-DORAEN'!$B$6,"PASS","FAIL"))</f>
        <v>PASS</v>
      </c>
      <c r="AG50" s="72">
        <f t="shared" si="55"/>
        <v>0.52678268764263703</v>
      </c>
      <c r="AH50" s="72">
        <f t="shared" si="56"/>
        <v>0</v>
      </c>
      <c r="AI50" s="72">
        <f t="shared" si="57"/>
        <v>0</v>
      </c>
      <c r="AJ50" s="72">
        <f t="shared" si="58"/>
        <v>0</v>
      </c>
      <c r="AK50" s="72" t="str">
        <f>IF(OR(AJ50="",AI50=""),"",IF(AJ50&lt;='OS-DORAEN'!$B$5,"PASS","FAIL"))</f>
        <v>PASS</v>
      </c>
      <c r="AL50" s="72" t="str">
        <f t="shared" si="59"/>
        <v/>
      </c>
      <c r="AM50" s="72" t="str">
        <f t="shared" si="60"/>
        <v/>
      </c>
      <c r="AN50" s="72" t="str">
        <f t="shared" si="61"/>
        <v/>
      </c>
      <c r="AO50" s="72" t="str">
        <f t="shared" si="62"/>
        <v>PASS</v>
      </c>
      <c r="AP50" s="72" t="str">
        <f t="shared" si="63"/>
        <v/>
      </c>
      <c r="AQ50" s="72" t="str">
        <f t="shared" si="64"/>
        <v/>
      </c>
      <c r="AR50" s="72" t="str">
        <f t="shared" si="81"/>
        <v/>
      </c>
      <c r="AS50" s="72">
        <f t="shared" si="65"/>
        <v>0</v>
      </c>
      <c r="AT50" s="72">
        <f>IF(AS50="","",IF(AS50&lt;=Lists!$J$2,Lists!$J$2,IFERROR(INDEX(Lists!$J$2:$J$28,IF(INDEX(Lists!$J$2:$J$28,MATCH(AS50,Lists!$J$2:$J$28,1))=AS50,MATCH(AS50,Lists!$J$2:$J$28,1),MATCH(AS50,Lists!$J$2:$J$28,1)+1)),"NO STANDARD CB")))</f>
        <v>16</v>
      </c>
      <c r="AU50" s="72" t="str">
        <f t="shared" si="66"/>
        <v>Manufacturer-specific adjustable trip unit</v>
      </c>
      <c r="AV50" s="72">
        <f t="shared" si="67"/>
        <v>0</v>
      </c>
      <c r="AW50" s="72" t="str">
        <f t="shared" si="68"/>
        <v>Verify manufacturer instantaneous/magnetic pickup</v>
      </c>
      <c r="AX50" s="72" t="str">
        <f t="shared" si="69"/>
        <v>VERIFY MANUFACTURER</v>
      </c>
      <c r="AY50" s="72" t="str">
        <f t="shared" si="70"/>
        <v>PASS</v>
      </c>
      <c r="AZ50" s="72" t="str">
        <f t="shared" si="71"/>
        <v>16 A MCCB; target Ir 0.0 A; manufacturer trip-unit verification required</v>
      </c>
      <c r="BA50" s="73"/>
      <c r="BB50" s="72" t="str">
        <f t="shared" si="72"/>
        <v>ENTER CB Icu/Ics</v>
      </c>
      <c r="BC50" s="72" t="str">
        <f t="shared" si="73"/>
        <v>Enter manufacturer CB Icu/Ics. Required ≥ 0.00 kA</v>
      </c>
      <c r="BD50" s="72" t="str">
        <f>IF(OR(AS50="",AT50="",AV50=""),"",IF(AND(AT50&gt;=AS50,COUNTIF(Lists!$J$2:$J$28,AT50)&gt;0,AV50&gt;=AS50,AV50&lt;=AT50),"PASS","FAIL - REVIEW MCCB FRAME/TRIP UNIT"))</f>
        <v>PASS</v>
      </c>
      <c r="BE50" s="86"/>
      <c r="BF50" s="86" t="str">
        <f t="shared" si="74"/>
        <v>XLPE</v>
      </c>
      <c r="BG50" s="86" t="str">
        <f t="shared" si="75"/>
        <v>3C</v>
      </c>
      <c r="BH50" s="86" t="str">
        <f t="shared" si="76"/>
        <v>Al</v>
      </c>
      <c r="BI50" s="86" t="str">
        <f t="shared" si="77"/>
        <v>XLPE</v>
      </c>
      <c r="BJ50" s="86" t="str">
        <f t="shared" si="78"/>
        <v>Armoured</v>
      </c>
      <c r="BK50" s="86" t="str">
        <f t="shared" si="79"/>
        <v/>
      </c>
      <c r="BL50" s="86">
        <f>IFERROR(SUMIFS('Cable Data Master'!$K:$K,'Cable Data Master'!$A:$A,$BF50,'Cable Data Master'!$B:$B,$BG50,'Cable Data Master'!$C:$C,$BH50,'Cable Data Master'!$D:$D,$BI50,'Cable Data Master'!$E:$E,$BJ50,'Cable Data Master'!$F:$F,$BK50),"")</f>
        <v>0</v>
      </c>
      <c r="BM50" s="86">
        <f>IFERROR(SUMIFS('Cable Data Master'!$L:$L,'Cable Data Master'!$A:$A,$BF50,'Cable Data Master'!$B:$B,$BG50,'Cable Data Master'!$C:$C,$BH50,'Cable Data Master'!$D:$D,$BI50,'Cable Data Master'!$E:$E,$BJ50,'Cable Data Master'!$F:$F,$BK50),"")</f>
        <v>0</v>
      </c>
      <c r="BN50" s="86">
        <f>IFERROR(SUMIFS('Cable Data Master'!$G:$G,'Cable Data Master'!$A:$A,$BF50,'Cable Data Master'!$B:$B,$BG50,'Cable Data Master'!$C:$C,$BH50,'Cable Data Master'!$D:$D,$BI50,'Cable Data Master'!$E:$E,$BJ50,'Cable Data Master'!$F:$F,$BK50),"")</f>
        <v>0</v>
      </c>
      <c r="BO50" s="86">
        <f>IFERROR(SUMIFS('Cable Data Master'!$H:$H,'Cable Data Master'!$A:$A,$BF50,'Cable Data Master'!$B:$B,$BG50,'Cable Data Master'!$C:$C,$BH50,'Cable Data Master'!$D:$D,$BI50,'Cable Data Master'!$E:$E,$BJ50,'Cable Data Master'!$F:$F,$BK50),"")</f>
        <v>0</v>
      </c>
      <c r="BP50" s="86">
        <f>IFERROR(SUMIFS('Cable Data Master'!$I:$I,'Cable Data Master'!$A:$A,$BF50,'Cable Data Master'!$B:$B,$BG50,'Cable Data Master'!$C:$C,$BH50,'Cable Data Master'!$D:$D,$BI50,'Cable Data Master'!$E:$E,$BJ50,'Cable Data Master'!$F:$F,$BK50),"")</f>
        <v>0</v>
      </c>
      <c r="BQ50" s="86">
        <f>IFERROR(SUMIFS('Cable Data Master'!$J:$J,'Cable Data Master'!$A:$A,$BF50,'Cable Data Master'!$B:$B,$BG50,'Cable Data Master'!$C:$C,$BH50,'Cable Data Master'!$D:$D,$BI50,'Cable Data Master'!$E:$E,$BJ50,'Cable Data Master'!$F:$F,$BK50),"")</f>
        <v>0</v>
      </c>
      <c r="BR50" s="86"/>
    </row>
    <row r="51" spans="1:70" s="87" customFormat="1" ht="30" customHeight="1" x14ac:dyDescent="0.35">
      <c r="A51" s="72">
        <v>48</v>
      </c>
      <c r="B51" s="73"/>
      <c r="C51" s="73"/>
      <c r="D51" s="74">
        <v>4.5</v>
      </c>
      <c r="E51" s="74"/>
      <c r="F51" s="74" t="s">
        <v>132</v>
      </c>
      <c r="G51" s="72" t="str">
        <f>IF(OR(C51="",D51="",E51="",H51="",J51="",K51="",L51="",M51="",N51="",O51="",P51="",Q51="",R51="",S51=""),"",IFERROR(LOOKUP(2,1/(('AUTO ENGINE'!$A$2:$A$1201=ROW())*('AUTO ENGINE'!$M$2:$M$1201=1)),'AUTO ENGINE'!$B$2:$B$1201),"NO CABLE PASSES"))</f>
        <v/>
      </c>
      <c r="H51" s="73" t="s">
        <v>133</v>
      </c>
      <c r="I51" s="72">
        <f t="shared" si="42"/>
        <v>0</v>
      </c>
      <c r="J51" s="73">
        <v>1</v>
      </c>
      <c r="K51" s="73">
        <v>415</v>
      </c>
      <c r="L51" s="73">
        <v>0.53</v>
      </c>
      <c r="M51" s="73">
        <v>0.85</v>
      </c>
      <c r="N51" s="73">
        <v>0.95399999999999996</v>
      </c>
      <c r="O51" s="73"/>
      <c r="P51" s="73">
        <v>1.5</v>
      </c>
      <c r="Q51" s="73">
        <v>0.3</v>
      </c>
      <c r="R51" s="72">
        <f t="shared" si="43"/>
        <v>0</v>
      </c>
      <c r="S51" s="73">
        <v>0.2</v>
      </c>
      <c r="T51" s="72">
        <f t="shared" si="44"/>
        <v>0</v>
      </c>
      <c r="U51" s="72">
        <f t="shared" si="80"/>
        <v>0</v>
      </c>
      <c r="V51" s="72">
        <f t="shared" si="45"/>
        <v>0</v>
      </c>
      <c r="W51" s="72">
        <f t="shared" si="46"/>
        <v>0</v>
      </c>
      <c r="X51" s="72">
        <f t="shared" si="47"/>
        <v>0</v>
      </c>
      <c r="Y51" s="72">
        <f t="shared" si="48"/>
        <v>0</v>
      </c>
      <c r="Z51" s="72" t="str">
        <f t="shared" si="49"/>
        <v>PASS</v>
      </c>
      <c r="AA51" s="72">
        <f t="shared" si="50"/>
        <v>0</v>
      </c>
      <c r="AB51" s="72">
        <f t="shared" si="51"/>
        <v>0.95393920141694566</v>
      </c>
      <c r="AC51" s="72">
        <f t="shared" si="52"/>
        <v>0</v>
      </c>
      <c r="AD51" s="72">
        <f t="shared" si="53"/>
        <v>0</v>
      </c>
      <c r="AE51" s="72">
        <f t="shared" si="54"/>
        <v>0</v>
      </c>
      <c r="AF51" s="72" t="str">
        <f>IF(OR(AE51="",AD51=""),"",IF(AE51&lt;='OS-DORAEN'!$B$6,"PASS","FAIL"))</f>
        <v>PASS</v>
      </c>
      <c r="AG51" s="72">
        <f t="shared" si="55"/>
        <v>0.52678268764263703</v>
      </c>
      <c r="AH51" s="72">
        <f t="shared" si="56"/>
        <v>0</v>
      </c>
      <c r="AI51" s="72">
        <f t="shared" si="57"/>
        <v>0</v>
      </c>
      <c r="AJ51" s="72">
        <f t="shared" si="58"/>
        <v>0</v>
      </c>
      <c r="AK51" s="72" t="str">
        <f>IF(OR(AJ51="",AI51=""),"",IF(AJ51&lt;='OS-DORAEN'!$B$5,"PASS","FAIL"))</f>
        <v>PASS</v>
      </c>
      <c r="AL51" s="72" t="str">
        <f t="shared" si="59"/>
        <v/>
      </c>
      <c r="AM51" s="72" t="str">
        <f t="shared" si="60"/>
        <v/>
      </c>
      <c r="AN51" s="72" t="str">
        <f t="shared" si="61"/>
        <v/>
      </c>
      <c r="AO51" s="72" t="str">
        <f t="shared" si="62"/>
        <v>PASS</v>
      </c>
      <c r="AP51" s="72" t="str">
        <f t="shared" si="63"/>
        <v/>
      </c>
      <c r="AQ51" s="72" t="str">
        <f t="shared" si="64"/>
        <v/>
      </c>
      <c r="AR51" s="72" t="str">
        <f t="shared" si="81"/>
        <v/>
      </c>
      <c r="AS51" s="72">
        <f t="shared" si="65"/>
        <v>0</v>
      </c>
      <c r="AT51" s="72">
        <f>IF(AS51="","",IF(AS51&lt;=Lists!$J$2,Lists!$J$2,IFERROR(INDEX(Lists!$J$2:$J$28,IF(INDEX(Lists!$J$2:$J$28,MATCH(AS51,Lists!$J$2:$J$28,1))=AS51,MATCH(AS51,Lists!$J$2:$J$28,1),MATCH(AS51,Lists!$J$2:$J$28,1)+1)),"NO STANDARD CB")))</f>
        <v>16</v>
      </c>
      <c r="AU51" s="72" t="str">
        <f t="shared" si="66"/>
        <v>Manufacturer-specific adjustable trip unit</v>
      </c>
      <c r="AV51" s="72">
        <f t="shared" si="67"/>
        <v>0</v>
      </c>
      <c r="AW51" s="72" t="str">
        <f t="shared" si="68"/>
        <v>Verify manufacturer instantaneous/magnetic pickup</v>
      </c>
      <c r="AX51" s="72" t="str">
        <f t="shared" si="69"/>
        <v>VERIFY MANUFACTURER</v>
      </c>
      <c r="AY51" s="72" t="str">
        <f t="shared" si="70"/>
        <v>PASS</v>
      </c>
      <c r="AZ51" s="72" t="str">
        <f t="shared" si="71"/>
        <v>16 A MCCB; target Ir 0.0 A; manufacturer trip-unit verification required</v>
      </c>
      <c r="BA51" s="73"/>
      <c r="BB51" s="72" t="str">
        <f t="shared" si="72"/>
        <v>ENTER CB Icu/Ics</v>
      </c>
      <c r="BC51" s="72" t="str">
        <f t="shared" si="73"/>
        <v>Enter manufacturer CB Icu/Ics. Required ≥ 0.00 kA</v>
      </c>
      <c r="BD51" s="72" t="str">
        <f>IF(OR(AS51="",AT51="",AV51=""),"",IF(AND(AT51&gt;=AS51,COUNTIF(Lists!$J$2:$J$28,AT51)&gt;0,AV51&gt;=AS51,AV51&lt;=AT51),"PASS","FAIL - REVIEW MCCB FRAME/TRIP UNIT"))</f>
        <v>PASS</v>
      </c>
      <c r="BE51" s="86"/>
      <c r="BF51" s="86" t="str">
        <f t="shared" si="74"/>
        <v>XLPE</v>
      </c>
      <c r="BG51" s="86" t="str">
        <f t="shared" si="75"/>
        <v>3C</v>
      </c>
      <c r="BH51" s="86" t="str">
        <f t="shared" si="76"/>
        <v>Al</v>
      </c>
      <c r="BI51" s="86" t="str">
        <f t="shared" si="77"/>
        <v>XLPE</v>
      </c>
      <c r="BJ51" s="86" t="str">
        <f t="shared" si="78"/>
        <v>Armoured</v>
      </c>
      <c r="BK51" s="86" t="str">
        <f t="shared" si="79"/>
        <v/>
      </c>
      <c r="BL51" s="86">
        <f>IFERROR(SUMIFS('Cable Data Master'!$K:$K,'Cable Data Master'!$A:$A,$BF51,'Cable Data Master'!$B:$B,$BG51,'Cable Data Master'!$C:$C,$BH51,'Cable Data Master'!$D:$D,$BI51,'Cable Data Master'!$E:$E,$BJ51,'Cable Data Master'!$F:$F,$BK51),"")</f>
        <v>0</v>
      </c>
      <c r="BM51" s="86">
        <f>IFERROR(SUMIFS('Cable Data Master'!$L:$L,'Cable Data Master'!$A:$A,$BF51,'Cable Data Master'!$B:$B,$BG51,'Cable Data Master'!$C:$C,$BH51,'Cable Data Master'!$D:$D,$BI51,'Cable Data Master'!$E:$E,$BJ51,'Cable Data Master'!$F:$F,$BK51),"")</f>
        <v>0</v>
      </c>
      <c r="BN51" s="86">
        <f>IFERROR(SUMIFS('Cable Data Master'!$G:$G,'Cable Data Master'!$A:$A,$BF51,'Cable Data Master'!$B:$B,$BG51,'Cable Data Master'!$C:$C,$BH51,'Cable Data Master'!$D:$D,$BI51,'Cable Data Master'!$E:$E,$BJ51,'Cable Data Master'!$F:$F,$BK51),"")</f>
        <v>0</v>
      </c>
      <c r="BO51" s="86">
        <f>IFERROR(SUMIFS('Cable Data Master'!$H:$H,'Cable Data Master'!$A:$A,$BF51,'Cable Data Master'!$B:$B,$BG51,'Cable Data Master'!$C:$C,$BH51,'Cable Data Master'!$D:$D,$BI51,'Cable Data Master'!$E:$E,$BJ51,'Cable Data Master'!$F:$F,$BK51),"")</f>
        <v>0</v>
      </c>
      <c r="BP51" s="86">
        <f>IFERROR(SUMIFS('Cable Data Master'!$I:$I,'Cable Data Master'!$A:$A,$BF51,'Cable Data Master'!$B:$B,$BG51,'Cable Data Master'!$C:$C,$BH51,'Cable Data Master'!$D:$D,$BI51,'Cable Data Master'!$E:$E,$BJ51,'Cable Data Master'!$F:$F,$BK51),"")</f>
        <v>0</v>
      </c>
      <c r="BQ51" s="86">
        <f>IFERROR(SUMIFS('Cable Data Master'!$J:$J,'Cable Data Master'!$A:$A,$BF51,'Cable Data Master'!$B:$B,$BG51,'Cable Data Master'!$C:$C,$BH51,'Cable Data Master'!$D:$D,$BI51,'Cable Data Master'!$E:$E,$BJ51,'Cable Data Master'!$F:$F,$BK51),"")</f>
        <v>0</v>
      </c>
      <c r="BR51" s="86"/>
    </row>
    <row r="52" spans="1:70" s="87" customFormat="1" ht="30" customHeight="1" x14ac:dyDescent="0.35">
      <c r="A52" s="72">
        <v>49</v>
      </c>
      <c r="B52" s="73"/>
      <c r="C52" s="73"/>
      <c r="D52" s="74">
        <v>4.5</v>
      </c>
      <c r="E52" s="74"/>
      <c r="F52" s="74" t="s">
        <v>132</v>
      </c>
      <c r="G52" s="72" t="str">
        <f>IF(OR(C52="",D52="",E52="",H52="",J52="",K52="",L52="",M52="",N52="",O52="",P52="",Q52="",R52="",S52=""),"",IFERROR(LOOKUP(2,1/(('AUTO ENGINE'!$A$2:$A$1201=ROW())*('AUTO ENGINE'!$M$2:$M$1201=1)),'AUTO ENGINE'!$B$2:$B$1201),"NO CABLE PASSES"))</f>
        <v/>
      </c>
      <c r="H52" s="73" t="s">
        <v>133</v>
      </c>
      <c r="I52" s="72">
        <f t="shared" si="42"/>
        <v>0</v>
      </c>
      <c r="J52" s="73">
        <v>1</v>
      </c>
      <c r="K52" s="73">
        <v>415</v>
      </c>
      <c r="L52" s="73">
        <v>0.53</v>
      </c>
      <c r="M52" s="73">
        <v>0.85</v>
      </c>
      <c r="N52" s="73">
        <v>0.95399999999999996</v>
      </c>
      <c r="O52" s="73"/>
      <c r="P52" s="73">
        <v>1.5</v>
      </c>
      <c r="Q52" s="73">
        <v>0.3</v>
      </c>
      <c r="R52" s="72">
        <f t="shared" si="43"/>
        <v>0</v>
      </c>
      <c r="S52" s="73">
        <v>0.2</v>
      </c>
      <c r="T52" s="72">
        <f t="shared" si="44"/>
        <v>0</v>
      </c>
      <c r="U52" s="72">
        <f t="shared" si="80"/>
        <v>0</v>
      </c>
      <c r="V52" s="72">
        <f t="shared" si="45"/>
        <v>0</v>
      </c>
      <c r="W52" s="72">
        <f t="shared" si="46"/>
        <v>0</v>
      </c>
      <c r="X52" s="72">
        <f t="shared" si="47"/>
        <v>0</v>
      </c>
      <c r="Y52" s="72">
        <f t="shared" si="48"/>
        <v>0</v>
      </c>
      <c r="Z52" s="72" t="str">
        <f t="shared" si="49"/>
        <v>PASS</v>
      </c>
      <c r="AA52" s="72">
        <f t="shared" si="50"/>
        <v>0</v>
      </c>
      <c r="AB52" s="72">
        <f t="shared" si="51"/>
        <v>0.95393920141694566</v>
      </c>
      <c r="AC52" s="72">
        <f t="shared" si="52"/>
        <v>0</v>
      </c>
      <c r="AD52" s="72">
        <f t="shared" si="53"/>
        <v>0</v>
      </c>
      <c r="AE52" s="72">
        <f t="shared" si="54"/>
        <v>0</v>
      </c>
      <c r="AF52" s="72" t="str">
        <f>IF(OR(AE52="",AD52=""),"",IF(AE52&lt;='OS-DORAEN'!$B$6,"PASS","FAIL"))</f>
        <v>PASS</v>
      </c>
      <c r="AG52" s="72">
        <f t="shared" si="55"/>
        <v>0.52678268764263703</v>
      </c>
      <c r="AH52" s="72">
        <f t="shared" si="56"/>
        <v>0</v>
      </c>
      <c r="AI52" s="72">
        <f t="shared" si="57"/>
        <v>0</v>
      </c>
      <c r="AJ52" s="72">
        <f t="shared" si="58"/>
        <v>0</v>
      </c>
      <c r="AK52" s="72" t="str">
        <f>IF(OR(AJ52="",AI52=""),"",IF(AJ52&lt;='OS-DORAEN'!$B$5,"PASS","FAIL"))</f>
        <v>PASS</v>
      </c>
      <c r="AL52" s="72" t="str">
        <f t="shared" si="59"/>
        <v/>
      </c>
      <c r="AM52" s="72" t="str">
        <f t="shared" si="60"/>
        <v/>
      </c>
      <c r="AN52" s="72" t="str">
        <f t="shared" si="61"/>
        <v/>
      </c>
      <c r="AO52" s="72" t="str">
        <f t="shared" si="62"/>
        <v>PASS</v>
      </c>
      <c r="AP52" s="72" t="str">
        <f t="shared" si="63"/>
        <v/>
      </c>
      <c r="AQ52" s="72" t="str">
        <f t="shared" si="64"/>
        <v/>
      </c>
      <c r="AR52" s="72" t="str">
        <f t="shared" si="81"/>
        <v/>
      </c>
      <c r="AS52" s="72">
        <f t="shared" si="65"/>
        <v>0</v>
      </c>
      <c r="AT52" s="72">
        <f>IF(AS52="","",IF(AS52&lt;=Lists!$J$2,Lists!$J$2,IFERROR(INDEX(Lists!$J$2:$J$28,IF(INDEX(Lists!$J$2:$J$28,MATCH(AS52,Lists!$J$2:$J$28,1))=AS52,MATCH(AS52,Lists!$J$2:$J$28,1),MATCH(AS52,Lists!$J$2:$J$28,1)+1)),"NO STANDARD CB")))</f>
        <v>16</v>
      </c>
      <c r="AU52" s="72" t="str">
        <f t="shared" si="66"/>
        <v>Manufacturer-specific adjustable trip unit</v>
      </c>
      <c r="AV52" s="72">
        <f t="shared" si="67"/>
        <v>0</v>
      </c>
      <c r="AW52" s="72" t="str">
        <f t="shared" si="68"/>
        <v>Verify manufacturer instantaneous/magnetic pickup</v>
      </c>
      <c r="AX52" s="72" t="str">
        <f t="shared" si="69"/>
        <v>VERIFY MANUFACTURER</v>
      </c>
      <c r="AY52" s="72" t="str">
        <f t="shared" si="70"/>
        <v>PASS</v>
      </c>
      <c r="AZ52" s="72" t="str">
        <f t="shared" si="71"/>
        <v>16 A MCCB; target Ir 0.0 A; manufacturer trip-unit verification required</v>
      </c>
      <c r="BA52" s="73"/>
      <c r="BB52" s="72" t="str">
        <f t="shared" si="72"/>
        <v>ENTER CB Icu/Ics</v>
      </c>
      <c r="BC52" s="72" t="str">
        <f t="shared" si="73"/>
        <v>Enter manufacturer CB Icu/Ics. Required ≥ 0.00 kA</v>
      </c>
      <c r="BD52" s="72" t="str">
        <f>IF(OR(AS52="",AT52="",AV52=""),"",IF(AND(AT52&gt;=AS52,COUNTIF(Lists!$J$2:$J$28,AT52)&gt;0,AV52&gt;=AS52,AV52&lt;=AT52),"PASS","FAIL - REVIEW MCCB FRAME/TRIP UNIT"))</f>
        <v>PASS</v>
      </c>
      <c r="BE52" s="86"/>
      <c r="BF52" s="86" t="str">
        <f t="shared" si="74"/>
        <v>XLPE</v>
      </c>
      <c r="BG52" s="86" t="str">
        <f t="shared" si="75"/>
        <v>3C</v>
      </c>
      <c r="BH52" s="86" t="str">
        <f t="shared" si="76"/>
        <v>Al</v>
      </c>
      <c r="BI52" s="86" t="str">
        <f t="shared" si="77"/>
        <v>XLPE</v>
      </c>
      <c r="BJ52" s="86" t="str">
        <f t="shared" si="78"/>
        <v>Armoured</v>
      </c>
      <c r="BK52" s="86" t="str">
        <f t="shared" si="79"/>
        <v/>
      </c>
      <c r="BL52" s="86">
        <f>IFERROR(SUMIFS('Cable Data Master'!$K:$K,'Cable Data Master'!$A:$A,$BF52,'Cable Data Master'!$B:$B,$BG52,'Cable Data Master'!$C:$C,$BH52,'Cable Data Master'!$D:$D,$BI52,'Cable Data Master'!$E:$E,$BJ52,'Cable Data Master'!$F:$F,$BK52),"")</f>
        <v>0</v>
      </c>
      <c r="BM52" s="86">
        <f>IFERROR(SUMIFS('Cable Data Master'!$L:$L,'Cable Data Master'!$A:$A,$BF52,'Cable Data Master'!$B:$B,$BG52,'Cable Data Master'!$C:$C,$BH52,'Cable Data Master'!$D:$D,$BI52,'Cable Data Master'!$E:$E,$BJ52,'Cable Data Master'!$F:$F,$BK52),"")</f>
        <v>0</v>
      </c>
      <c r="BN52" s="86">
        <f>IFERROR(SUMIFS('Cable Data Master'!$G:$G,'Cable Data Master'!$A:$A,$BF52,'Cable Data Master'!$B:$B,$BG52,'Cable Data Master'!$C:$C,$BH52,'Cable Data Master'!$D:$D,$BI52,'Cable Data Master'!$E:$E,$BJ52,'Cable Data Master'!$F:$F,$BK52),"")</f>
        <v>0</v>
      </c>
      <c r="BO52" s="86">
        <f>IFERROR(SUMIFS('Cable Data Master'!$H:$H,'Cable Data Master'!$A:$A,$BF52,'Cable Data Master'!$B:$B,$BG52,'Cable Data Master'!$C:$C,$BH52,'Cable Data Master'!$D:$D,$BI52,'Cable Data Master'!$E:$E,$BJ52,'Cable Data Master'!$F:$F,$BK52),"")</f>
        <v>0</v>
      </c>
      <c r="BP52" s="86">
        <f>IFERROR(SUMIFS('Cable Data Master'!$I:$I,'Cable Data Master'!$A:$A,$BF52,'Cable Data Master'!$B:$B,$BG52,'Cable Data Master'!$C:$C,$BH52,'Cable Data Master'!$D:$D,$BI52,'Cable Data Master'!$E:$E,$BJ52,'Cable Data Master'!$F:$F,$BK52),"")</f>
        <v>0</v>
      </c>
      <c r="BQ52" s="86">
        <f>IFERROR(SUMIFS('Cable Data Master'!$J:$J,'Cable Data Master'!$A:$A,$BF52,'Cable Data Master'!$B:$B,$BG52,'Cable Data Master'!$C:$C,$BH52,'Cable Data Master'!$D:$D,$BI52,'Cable Data Master'!$E:$E,$BJ52,'Cable Data Master'!$F:$F,$BK52),"")</f>
        <v>0</v>
      </c>
      <c r="BR52" s="86"/>
    </row>
    <row r="53" spans="1:70" s="87" customFormat="1" ht="30" customHeight="1" x14ac:dyDescent="0.35">
      <c r="A53" s="72">
        <v>50</v>
      </c>
      <c r="B53" s="73"/>
      <c r="C53" s="73"/>
      <c r="D53" s="74">
        <v>4.5</v>
      </c>
      <c r="E53" s="74"/>
      <c r="F53" s="74" t="s">
        <v>132</v>
      </c>
      <c r="G53" s="72" t="str">
        <f>IF(OR(C53="",D53="",E53="",H53="",J53="",K53="",L53="",M53="",N53="",O53="",P53="",Q53="",R53="",S53=""),"",IFERROR(LOOKUP(2,1/(('AUTO ENGINE'!$A$2:$A$1201=ROW())*('AUTO ENGINE'!$M$2:$M$1201=1)),'AUTO ENGINE'!$B$2:$B$1201),"NO CABLE PASSES"))</f>
        <v/>
      </c>
      <c r="H53" s="73" t="s">
        <v>133</v>
      </c>
      <c r="I53" s="72">
        <f t="shared" si="42"/>
        <v>0</v>
      </c>
      <c r="J53" s="73">
        <v>1</v>
      </c>
      <c r="K53" s="73">
        <v>415</v>
      </c>
      <c r="L53" s="73">
        <v>0.53</v>
      </c>
      <c r="M53" s="73">
        <v>0.85</v>
      </c>
      <c r="N53" s="73">
        <v>0.95399999999999996</v>
      </c>
      <c r="O53" s="73"/>
      <c r="P53" s="73">
        <v>1.5</v>
      </c>
      <c r="Q53" s="73">
        <v>0.3</v>
      </c>
      <c r="R53" s="72">
        <f t="shared" si="43"/>
        <v>0</v>
      </c>
      <c r="S53" s="73">
        <v>0.2</v>
      </c>
      <c r="T53" s="72">
        <f t="shared" si="44"/>
        <v>0</v>
      </c>
      <c r="U53" s="72">
        <f t="shared" si="80"/>
        <v>0</v>
      </c>
      <c r="V53" s="72">
        <f t="shared" si="45"/>
        <v>0</v>
      </c>
      <c r="W53" s="72">
        <f t="shared" si="46"/>
        <v>0</v>
      </c>
      <c r="X53" s="72">
        <f t="shared" si="47"/>
        <v>0</v>
      </c>
      <c r="Y53" s="72">
        <f t="shared" si="48"/>
        <v>0</v>
      </c>
      <c r="Z53" s="72" t="str">
        <f t="shared" si="49"/>
        <v>PASS</v>
      </c>
      <c r="AA53" s="72">
        <f t="shared" si="50"/>
        <v>0</v>
      </c>
      <c r="AB53" s="72">
        <f t="shared" si="51"/>
        <v>0.95393920141694566</v>
      </c>
      <c r="AC53" s="72">
        <f t="shared" si="52"/>
        <v>0</v>
      </c>
      <c r="AD53" s="72">
        <f t="shared" si="53"/>
        <v>0</v>
      </c>
      <c r="AE53" s="72">
        <f t="shared" si="54"/>
        <v>0</v>
      </c>
      <c r="AF53" s="72" t="str">
        <f>IF(OR(AE53="",AD53=""),"",IF(AE53&lt;='OS-DORAEN'!$B$6,"PASS","FAIL"))</f>
        <v>PASS</v>
      </c>
      <c r="AG53" s="72">
        <f t="shared" si="55"/>
        <v>0.52678268764263703</v>
      </c>
      <c r="AH53" s="72">
        <f t="shared" si="56"/>
        <v>0</v>
      </c>
      <c r="AI53" s="72">
        <f t="shared" si="57"/>
        <v>0</v>
      </c>
      <c r="AJ53" s="72">
        <f t="shared" si="58"/>
        <v>0</v>
      </c>
      <c r="AK53" s="72" t="str">
        <f>IF(OR(AJ53="",AI53=""),"",IF(AJ53&lt;='OS-DORAEN'!$B$5,"PASS","FAIL"))</f>
        <v>PASS</v>
      </c>
      <c r="AL53" s="72" t="str">
        <f t="shared" si="59"/>
        <v/>
      </c>
      <c r="AM53" s="72" t="str">
        <f t="shared" si="60"/>
        <v/>
      </c>
      <c r="AN53" s="72" t="str">
        <f t="shared" si="61"/>
        <v/>
      </c>
      <c r="AO53" s="72" t="str">
        <f t="shared" si="62"/>
        <v>PASS</v>
      </c>
      <c r="AP53" s="72" t="str">
        <f t="shared" si="63"/>
        <v/>
      </c>
      <c r="AQ53" s="72" t="str">
        <f t="shared" si="64"/>
        <v/>
      </c>
      <c r="AR53" s="72" t="str">
        <f t="shared" si="81"/>
        <v/>
      </c>
      <c r="AS53" s="72">
        <f t="shared" si="65"/>
        <v>0</v>
      </c>
      <c r="AT53" s="72">
        <f>IF(AS53="","",IF(AS53&lt;=Lists!$J$2,Lists!$J$2,IFERROR(INDEX(Lists!$J$2:$J$28,IF(INDEX(Lists!$J$2:$J$28,MATCH(AS53,Lists!$J$2:$J$28,1))=AS53,MATCH(AS53,Lists!$J$2:$J$28,1),MATCH(AS53,Lists!$J$2:$J$28,1)+1)),"NO STANDARD CB")))</f>
        <v>16</v>
      </c>
      <c r="AU53" s="72" t="str">
        <f t="shared" si="66"/>
        <v>Manufacturer-specific adjustable trip unit</v>
      </c>
      <c r="AV53" s="72">
        <f t="shared" si="67"/>
        <v>0</v>
      </c>
      <c r="AW53" s="72" t="str">
        <f t="shared" si="68"/>
        <v>Verify manufacturer instantaneous/magnetic pickup</v>
      </c>
      <c r="AX53" s="72" t="str">
        <f t="shared" si="69"/>
        <v>VERIFY MANUFACTURER</v>
      </c>
      <c r="AY53" s="72" t="str">
        <f t="shared" si="70"/>
        <v>PASS</v>
      </c>
      <c r="AZ53" s="72" t="str">
        <f t="shared" si="71"/>
        <v>16 A MCCB; target Ir 0.0 A; manufacturer trip-unit verification required</v>
      </c>
      <c r="BA53" s="73"/>
      <c r="BB53" s="72" t="str">
        <f t="shared" si="72"/>
        <v>ENTER CB Icu/Ics</v>
      </c>
      <c r="BC53" s="72" t="str">
        <f t="shared" si="73"/>
        <v>Enter manufacturer CB Icu/Ics. Required ≥ 0.00 kA</v>
      </c>
      <c r="BD53" s="72" t="str">
        <f>IF(OR(AS53="",AT53="",AV53=""),"",IF(AND(AT53&gt;=AS53,COUNTIF(Lists!$J$2:$J$28,AT53)&gt;0,AV53&gt;=AS53,AV53&lt;=AT53),"PASS","FAIL - REVIEW MCCB FRAME/TRIP UNIT"))</f>
        <v>PASS</v>
      </c>
      <c r="BE53" s="86"/>
      <c r="BF53" s="86" t="str">
        <f t="shared" si="74"/>
        <v>XLPE</v>
      </c>
      <c r="BG53" s="86" t="str">
        <f t="shared" si="75"/>
        <v>3C</v>
      </c>
      <c r="BH53" s="86" t="str">
        <f t="shared" si="76"/>
        <v>Al</v>
      </c>
      <c r="BI53" s="86" t="str">
        <f t="shared" si="77"/>
        <v>XLPE</v>
      </c>
      <c r="BJ53" s="86" t="str">
        <f t="shared" si="78"/>
        <v>Armoured</v>
      </c>
      <c r="BK53" s="86" t="str">
        <f t="shared" si="79"/>
        <v/>
      </c>
      <c r="BL53" s="86">
        <f>IFERROR(SUMIFS('Cable Data Master'!$K:$K,'Cable Data Master'!$A:$A,$BF53,'Cable Data Master'!$B:$B,$BG53,'Cable Data Master'!$C:$C,$BH53,'Cable Data Master'!$D:$D,$BI53,'Cable Data Master'!$E:$E,$BJ53,'Cable Data Master'!$F:$F,$BK53),"")</f>
        <v>0</v>
      </c>
      <c r="BM53" s="86">
        <f>IFERROR(SUMIFS('Cable Data Master'!$L:$L,'Cable Data Master'!$A:$A,$BF53,'Cable Data Master'!$B:$B,$BG53,'Cable Data Master'!$C:$C,$BH53,'Cable Data Master'!$D:$D,$BI53,'Cable Data Master'!$E:$E,$BJ53,'Cable Data Master'!$F:$F,$BK53),"")</f>
        <v>0</v>
      </c>
      <c r="BN53" s="86">
        <f>IFERROR(SUMIFS('Cable Data Master'!$G:$G,'Cable Data Master'!$A:$A,$BF53,'Cable Data Master'!$B:$B,$BG53,'Cable Data Master'!$C:$C,$BH53,'Cable Data Master'!$D:$D,$BI53,'Cable Data Master'!$E:$E,$BJ53,'Cable Data Master'!$F:$F,$BK53),"")</f>
        <v>0</v>
      </c>
      <c r="BO53" s="86">
        <f>IFERROR(SUMIFS('Cable Data Master'!$H:$H,'Cable Data Master'!$A:$A,$BF53,'Cable Data Master'!$B:$B,$BG53,'Cable Data Master'!$C:$C,$BH53,'Cable Data Master'!$D:$D,$BI53,'Cable Data Master'!$E:$E,$BJ53,'Cable Data Master'!$F:$F,$BK53),"")</f>
        <v>0</v>
      </c>
      <c r="BP53" s="86">
        <f>IFERROR(SUMIFS('Cable Data Master'!$I:$I,'Cable Data Master'!$A:$A,$BF53,'Cable Data Master'!$B:$B,$BG53,'Cable Data Master'!$C:$C,$BH53,'Cable Data Master'!$D:$D,$BI53,'Cable Data Master'!$E:$E,$BJ53,'Cable Data Master'!$F:$F,$BK53),"")</f>
        <v>0</v>
      </c>
      <c r="BQ53" s="86">
        <f>IFERROR(SUMIFS('Cable Data Master'!$J:$J,'Cable Data Master'!$A:$A,$BF53,'Cable Data Master'!$B:$B,$BG53,'Cable Data Master'!$C:$C,$BH53,'Cable Data Master'!$D:$D,$BI53,'Cable Data Master'!$E:$E,$BJ53,'Cable Data Master'!$F:$F,$BK53),"")</f>
        <v>0</v>
      </c>
      <c r="BR53" s="86"/>
    </row>
    <row r="54" spans="1:70" s="87" customFormat="1" ht="30" customHeight="1" x14ac:dyDescent="0.35">
      <c r="A54" s="72">
        <v>51</v>
      </c>
      <c r="B54" s="73"/>
      <c r="C54" s="73"/>
      <c r="D54" s="74">
        <v>4.5</v>
      </c>
      <c r="E54" s="74"/>
      <c r="F54" s="74" t="s">
        <v>132</v>
      </c>
      <c r="G54" s="72" t="str">
        <f>IF(OR(C54="",D54="",E54="",H54="",J54="",K54="",L54="",M54="",N54="",O54="",P54="",Q54="",R54="",S54=""),"",IFERROR(LOOKUP(2,1/(('AUTO ENGINE'!$A$2:$A$1201=ROW())*('AUTO ENGINE'!$M$2:$M$1201=1)),'AUTO ENGINE'!$B$2:$B$1201),"NO CABLE PASSES"))</f>
        <v/>
      </c>
      <c r="H54" s="73" t="s">
        <v>133</v>
      </c>
      <c r="I54" s="72">
        <f t="shared" si="42"/>
        <v>0</v>
      </c>
      <c r="J54" s="73">
        <v>1</v>
      </c>
      <c r="K54" s="73">
        <v>415</v>
      </c>
      <c r="L54" s="73">
        <v>0.53</v>
      </c>
      <c r="M54" s="73">
        <v>0.85</v>
      </c>
      <c r="N54" s="73">
        <v>0.95399999999999996</v>
      </c>
      <c r="O54" s="73"/>
      <c r="P54" s="73">
        <v>1.5</v>
      </c>
      <c r="Q54" s="73">
        <v>0.3</v>
      </c>
      <c r="R54" s="72">
        <f t="shared" si="43"/>
        <v>0</v>
      </c>
      <c r="S54" s="73">
        <v>0.2</v>
      </c>
      <c r="T54" s="72">
        <f t="shared" si="44"/>
        <v>0</v>
      </c>
      <c r="U54" s="72">
        <f t="shared" si="80"/>
        <v>0</v>
      </c>
      <c r="V54" s="72">
        <f t="shared" si="45"/>
        <v>0</v>
      </c>
      <c r="W54" s="72">
        <f t="shared" si="46"/>
        <v>0</v>
      </c>
      <c r="X54" s="72">
        <f t="shared" si="47"/>
        <v>0</v>
      </c>
      <c r="Y54" s="72">
        <f t="shared" si="48"/>
        <v>0</v>
      </c>
      <c r="Z54" s="72" t="str">
        <f t="shared" si="49"/>
        <v>PASS</v>
      </c>
      <c r="AA54" s="72">
        <f t="shared" si="50"/>
        <v>0</v>
      </c>
      <c r="AB54" s="72">
        <f t="shared" si="51"/>
        <v>0.95393920141694566</v>
      </c>
      <c r="AC54" s="72">
        <f t="shared" si="52"/>
        <v>0</v>
      </c>
      <c r="AD54" s="72">
        <f t="shared" si="53"/>
        <v>0</v>
      </c>
      <c r="AE54" s="72">
        <f t="shared" si="54"/>
        <v>0</v>
      </c>
      <c r="AF54" s="72" t="str">
        <f>IF(OR(AE54="",AD54=""),"",IF(AE54&lt;='OS-DORAEN'!$B$6,"PASS","FAIL"))</f>
        <v>PASS</v>
      </c>
      <c r="AG54" s="72">
        <f t="shared" si="55"/>
        <v>0.52678268764263703</v>
      </c>
      <c r="AH54" s="72">
        <f t="shared" si="56"/>
        <v>0</v>
      </c>
      <c r="AI54" s="72">
        <f t="shared" si="57"/>
        <v>0</v>
      </c>
      <c r="AJ54" s="72">
        <f t="shared" si="58"/>
        <v>0</v>
      </c>
      <c r="AK54" s="72" t="str">
        <f>IF(OR(AJ54="",AI54=""),"",IF(AJ54&lt;='OS-DORAEN'!$B$5,"PASS","FAIL"))</f>
        <v>PASS</v>
      </c>
      <c r="AL54" s="72" t="str">
        <f t="shared" si="59"/>
        <v/>
      </c>
      <c r="AM54" s="72" t="str">
        <f t="shared" si="60"/>
        <v/>
      </c>
      <c r="AN54" s="72" t="str">
        <f t="shared" si="61"/>
        <v/>
      </c>
      <c r="AO54" s="72" t="str">
        <f t="shared" si="62"/>
        <v>PASS</v>
      </c>
      <c r="AP54" s="72" t="str">
        <f t="shared" si="63"/>
        <v/>
      </c>
      <c r="AQ54" s="72" t="str">
        <f t="shared" si="64"/>
        <v/>
      </c>
      <c r="AR54" s="72" t="str">
        <f t="shared" si="81"/>
        <v/>
      </c>
      <c r="AS54" s="72">
        <f t="shared" si="65"/>
        <v>0</v>
      </c>
      <c r="AT54" s="72">
        <f>IF(AS54="","",IF(AS54&lt;=Lists!$J$2,Lists!$J$2,IFERROR(INDEX(Lists!$J$2:$J$28,IF(INDEX(Lists!$J$2:$J$28,MATCH(AS54,Lists!$J$2:$J$28,1))=AS54,MATCH(AS54,Lists!$J$2:$J$28,1),MATCH(AS54,Lists!$J$2:$J$28,1)+1)),"NO STANDARD CB")))</f>
        <v>16</v>
      </c>
      <c r="AU54" s="72" t="str">
        <f t="shared" si="66"/>
        <v>Manufacturer-specific adjustable trip unit</v>
      </c>
      <c r="AV54" s="72">
        <f t="shared" si="67"/>
        <v>0</v>
      </c>
      <c r="AW54" s="72" t="str">
        <f t="shared" si="68"/>
        <v>Verify manufacturer instantaneous/magnetic pickup</v>
      </c>
      <c r="AX54" s="72" t="str">
        <f t="shared" si="69"/>
        <v>VERIFY MANUFACTURER</v>
      </c>
      <c r="AY54" s="72" t="str">
        <f t="shared" si="70"/>
        <v>PASS</v>
      </c>
      <c r="AZ54" s="72" t="str">
        <f t="shared" si="71"/>
        <v>16 A MCCB; target Ir 0.0 A; manufacturer trip-unit verification required</v>
      </c>
      <c r="BA54" s="73"/>
      <c r="BB54" s="72" t="str">
        <f t="shared" si="72"/>
        <v>ENTER CB Icu/Ics</v>
      </c>
      <c r="BC54" s="72" t="str">
        <f t="shared" si="73"/>
        <v>Enter manufacturer CB Icu/Ics. Required ≥ 0.00 kA</v>
      </c>
      <c r="BD54" s="72" t="str">
        <f>IF(OR(AS54="",AT54="",AV54=""),"",IF(AND(AT54&gt;=AS54,COUNTIF(Lists!$J$2:$J$28,AT54)&gt;0,AV54&gt;=AS54,AV54&lt;=AT54),"PASS","FAIL - REVIEW MCCB FRAME/TRIP UNIT"))</f>
        <v>PASS</v>
      </c>
      <c r="BE54" s="86"/>
      <c r="BF54" s="86" t="str">
        <f t="shared" si="74"/>
        <v>XLPE</v>
      </c>
      <c r="BG54" s="86" t="str">
        <f t="shared" si="75"/>
        <v>3C</v>
      </c>
      <c r="BH54" s="86" t="str">
        <f t="shared" si="76"/>
        <v>Al</v>
      </c>
      <c r="BI54" s="86" t="str">
        <f t="shared" si="77"/>
        <v>XLPE</v>
      </c>
      <c r="BJ54" s="86" t="str">
        <f t="shared" si="78"/>
        <v>Armoured</v>
      </c>
      <c r="BK54" s="86" t="str">
        <f t="shared" si="79"/>
        <v/>
      </c>
      <c r="BL54" s="86">
        <f>IFERROR(SUMIFS('Cable Data Master'!$K:$K,'Cable Data Master'!$A:$A,$BF54,'Cable Data Master'!$B:$B,$BG54,'Cable Data Master'!$C:$C,$BH54,'Cable Data Master'!$D:$D,$BI54,'Cable Data Master'!$E:$E,$BJ54,'Cable Data Master'!$F:$F,$BK54),"")</f>
        <v>0</v>
      </c>
      <c r="BM54" s="86">
        <f>IFERROR(SUMIFS('Cable Data Master'!$L:$L,'Cable Data Master'!$A:$A,$BF54,'Cable Data Master'!$B:$B,$BG54,'Cable Data Master'!$C:$C,$BH54,'Cable Data Master'!$D:$D,$BI54,'Cable Data Master'!$E:$E,$BJ54,'Cable Data Master'!$F:$F,$BK54),"")</f>
        <v>0</v>
      </c>
      <c r="BN54" s="86">
        <f>IFERROR(SUMIFS('Cable Data Master'!$G:$G,'Cable Data Master'!$A:$A,$BF54,'Cable Data Master'!$B:$B,$BG54,'Cable Data Master'!$C:$C,$BH54,'Cable Data Master'!$D:$D,$BI54,'Cable Data Master'!$E:$E,$BJ54,'Cable Data Master'!$F:$F,$BK54),"")</f>
        <v>0</v>
      </c>
      <c r="BO54" s="86">
        <f>IFERROR(SUMIFS('Cable Data Master'!$H:$H,'Cable Data Master'!$A:$A,$BF54,'Cable Data Master'!$B:$B,$BG54,'Cable Data Master'!$C:$C,$BH54,'Cable Data Master'!$D:$D,$BI54,'Cable Data Master'!$E:$E,$BJ54,'Cable Data Master'!$F:$F,$BK54),"")</f>
        <v>0</v>
      </c>
      <c r="BP54" s="86">
        <f>IFERROR(SUMIFS('Cable Data Master'!$I:$I,'Cable Data Master'!$A:$A,$BF54,'Cable Data Master'!$B:$B,$BG54,'Cable Data Master'!$C:$C,$BH54,'Cable Data Master'!$D:$D,$BI54,'Cable Data Master'!$E:$E,$BJ54,'Cable Data Master'!$F:$F,$BK54),"")</f>
        <v>0</v>
      </c>
      <c r="BQ54" s="86">
        <f>IFERROR(SUMIFS('Cable Data Master'!$J:$J,'Cable Data Master'!$A:$A,$BF54,'Cable Data Master'!$B:$B,$BG54,'Cable Data Master'!$C:$C,$BH54,'Cable Data Master'!$D:$D,$BI54,'Cable Data Master'!$E:$E,$BJ54,'Cable Data Master'!$F:$F,$BK54),"")</f>
        <v>0</v>
      </c>
      <c r="BR54" s="86"/>
    </row>
    <row r="55" spans="1:70" s="87" customFormat="1" ht="30" customHeight="1" x14ac:dyDescent="0.35">
      <c r="A55" s="72">
        <v>52</v>
      </c>
      <c r="B55" s="73"/>
      <c r="C55" s="73"/>
      <c r="D55" s="74">
        <v>4.5</v>
      </c>
      <c r="E55" s="74"/>
      <c r="F55" s="74" t="s">
        <v>132</v>
      </c>
      <c r="G55" s="72" t="str">
        <f>IF(OR(C55="",D55="",E55="",H55="",J55="",K55="",L55="",M55="",N55="",O55="",P55="",Q55="",R55="",S55=""),"",IFERROR(LOOKUP(2,1/(('AUTO ENGINE'!$A$2:$A$1201=ROW())*('AUTO ENGINE'!$M$2:$M$1201=1)),'AUTO ENGINE'!$B$2:$B$1201),"NO CABLE PASSES"))</f>
        <v/>
      </c>
      <c r="H55" s="73" t="s">
        <v>133</v>
      </c>
      <c r="I55" s="72">
        <f t="shared" si="42"/>
        <v>0</v>
      </c>
      <c r="J55" s="73">
        <v>1</v>
      </c>
      <c r="K55" s="73">
        <v>415</v>
      </c>
      <c r="L55" s="73">
        <v>0.53</v>
      </c>
      <c r="M55" s="73">
        <v>0.85</v>
      </c>
      <c r="N55" s="73">
        <v>0.95399999999999996</v>
      </c>
      <c r="O55" s="73"/>
      <c r="P55" s="73">
        <v>1.5</v>
      </c>
      <c r="Q55" s="73">
        <v>0.3</v>
      </c>
      <c r="R55" s="72">
        <f t="shared" si="43"/>
        <v>0</v>
      </c>
      <c r="S55" s="73">
        <v>0.2</v>
      </c>
      <c r="T55" s="72">
        <f t="shared" si="44"/>
        <v>0</v>
      </c>
      <c r="U55" s="72">
        <f t="shared" si="80"/>
        <v>0</v>
      </c>
      <c r="V55" s="72">
        <f t="shared" si="45"/>
        <v>0</v>
      </c>
      <c r="W55" s="72">
        <f t="shared" si="46"/>
        <v>0</v>
      </c>
      <c r="X55" s="72">
        <f t="shared" si="47"/>
        <v>0</v>
      </c>
      <c r="Y55" s="72">
        <f t="shared" si="48"/>
        <v>0</v>
      </c>
      <c r="Z55" s="72" t="str">
        <f t="shared" si="49"/>
        <v>PASS</v>
      </c>
      <c r="AA55" s="72">
        <f t="shared" si="50"/>
        <v>0</v>
      </c>
      <c r="AB55" s="72">
        <f t="shared" si="51"/>
        <v>0.95393920141694566</v>
      </c>
      <c r="AC55" s="72">
        <f t="shared" si="52"/>
        <v>0</v>
      </c>
      <c r="AD55" s="72">
        <f t="shared" si="53"/>
        <v>0</v>
      </c>
      <c r="AE55" s="72">
        <f t="shared" si="54"/>
        <v>0</v>
      </c>
      <c r="AF55" s="72" t="str">
        <f>IF(OR(AE55="",AD55=""),"",IF(AE55&lt;='OS-DORAEN'!$B$6,"PASS","FAIL"))</f>
        <v>PASS</v>
      </c>
      <c r="AG55" s="72">
        <f t="shared" si="55"/>
        <v>0.52678268764263703</v>
      </c>
      <c r="AH55" s="72">
        <f t="shared" si="56"/>
        <v>0</v>
      </c>
      <c r="AI55" s="72">
        <f t="shared" si="57"/>
        <v>0</v>
      </c>
      <c r="AJ55" s="72">
        <f t="shared" si="58"/>
        <v>0</v>
      </c>
      <c r="AK55" s="72" t="str">
        <f>IF(OR(AJ55="",AI55=""),"",IF(AJ55&lt;='OS-DORAEN'!$B$5,"PASS","FAIL"))</f>
        <v>PASS</v>
      </c>
      <c r="AL55" s="72" t="str">
        <f t="shared" si="59"/>
        <v/>
      </c>
      <c r="AM55" s="72" t="str">
        <f t="shared" si="60"/>
        <v/>
      </c>
      <c r="AN55" s="72" t="str">
        <f t="shared" si="61"/>
        <v/>
      </c>
      <c r="AO55" s="72" t="str">
        <f t="shared" si="62"/>
        <v>PASS</v>
      </c>
      <c r="AP55" s="72" t="str">
        <f t="shared" si="63"/>
        <v/>
      </c>
      <c r="AQ55" s="72" t="str">
        <f t="shared" si="64"/>
        <v/>
      </c>
      <c r="AR55" s="72" t="str">
        <f t="shared" si="81"/>
        <v/>
      </c>
      <c r="AS55" s="72">
        <f t="shared" si="65"/>
        <v>0</v>
      </c>
      <c r="AT55" s="72">
        <f>IF(AS55="","",IF(AS55&lt;=Lists!$J$2,Lists!$J$2,IFERROR(INDEX(Lists!$J$2:$J$28,IF(INDEX(Lists!$J$2:$J$28,MATCH(AS55,Lists!$J$2:$J$28,1))=AS55,MATCH(AS55,Lists!$J$2:$J$28,1),MATCH(AS55,Lists!$J$2:$J$28,1)+1)),"NO STANDARD CB")))</f>
        <v>16</v>
      </c>
      <c r="AU55" s="72" t="str">
        <f t="shared" si="66"/>
        <v>Manufacturer-specific adjustable trip unit</v>
      </c>
      <c r="AV55" s="72">
        <f t="shared" si="67"/>
        <v>0</v>
      </c>
      <c r="AW55" s="72" t="str">
        <f t="shared" si="68"/>
        <v>Verify manufacturer instantaneous/magnetic pickup</v>
      </c>
      <c r="AX55" s="72" t="str">
        <f t="shared" si="69"/>
        <v>VERIFY MANUFACTURER</v>
      </c>
      <c r="AY55" s="72" t="str">
        <f t="shared" si="70"/>
        <v>PASS</v>
      </c>
      <c r="AZ55" s="72" t="str">
        <f t="shared" si="71"/>
        <v>16 A MCCB; target Ir 0.0 A; manufacturer trip-unit verification required</v>
      </c>
      <c r="BA55" s="73"/>
      <c r="BB55" s="72" t="str">
        <f t="shared" si="72"/>
        <v>ENTER CB Icu/Ics</v>
      </c>
      <c r="BC55" s="72" t="str">
        <f t="shared" si="73"/>
        <v>Enter manufacturer CB Icu/Ics. Required ≥ 0.00 kA</v>
      </c>
      <c r="BD55" s="72" t="str">
        <f>IF(OR(AS55="",AT55="",AV55=""),"",IF(AND(AT55&gt;=AS55,COUNTIF(Lists!$J$2:$J$28,AT55)&gt;0,AV55&gt;=AS55,AV55&lt;=AT55),"PASS","FAIL - REVIEW MCCB FRAME/TRIP UNIT"))</f>
        <v>PASS</v>
      </c>
      <c r="BE55" s="86"/>
      <c r="BF55" s="86" t="str">
        <f t="shared" si="74"/>
        <v>XLPE</v>
      </c>
      <c r="BG55" s="86" t="str">
        <f t="shared" si="75"/>
        <v>3C</v>
      </c>
      <c r="BH55" s="86" t="str">
        <f t="shared" si="76"/>
        <v>Al</v>
      </c>
      <c r="BI55" s="86" t="str">
        <f t="shared" si="77"/>
        <v>XLPE</v>
      </c>
      <c r="BJ55" s="86" t="str">
        <f t="shared" si="78"/>
        <v>Armoured</v>
      </c>
      <c r="BK55" s="86" t="str">
        <f t="shared" si="79"/>
        <v/>
      </c>
      <c r="BL55" s="86">
        <f>IFERROR(SUMIFS('Cable Data Master'!$K:$K,'Cable Data Master'!$A:$A,$BF55,'Cable Data Master'!$B:$B,$BG55,'Cable Data Master'!$C:$C,$BH55,'Cable Data Master'!$D:$D,$BI55,'Cable Data Master'!$E:$E,$BJ55,'Cable Data Master'!$F:$F,$BK55),"")</f>
        <v>0</v>
      </c>
      <c r="BM55" s="86">
        <f>IFERROR(SUMIFS('Cable Data Master'!$L:$L,'Cable Data Master'!$A:$A,$BF55,'Cable Data Master'!$B:$B,$BG55,'Cable Data Master'!$C:$C,$BH55,'Cable Data Master'!$D:$D,$BI55,'Cable Data Master'!$E:$E,$BJ55,'Cable Data Master'!$F:$F,$BK55),"")</f>
        <v>0</v>
      </c>
      <c r="BN55" s="86">
        <f>IFERROR(SUMIFS('Cable Data Master'!$G:$G,'Cable Data Master'!$A:$A,$BF55,'Cable Data Master'!$B:$B,$BG55,'Cable Data Master'!$C:$C,$BH55,'Cable Data Master'!$D:$D,$BI55,'Cable Data Master'!$E:$E,$BJ55,'Cable Data Master'!$F:$F,$BK55),"")</f>
        <v>0</v>
      </c>
      <c r="BO55" s="86">
        <f>IFERROR(SUMIFS('Cable Data Master'!$H:$H,'Cable Data Master'!$A:$A,$BF55,'Cable Data Master'!$B:$B,$BG55,'Cable Data Master'!$C:$C,$BH55,'Cable Data Master'!$D:$D,$BI55,'Cable Data Master'!$E:$E,$BJ55,'Cable Data Master'!$F:$F,$BK55),"")</f>
        <v>0</v>
      </c>
      <c r="BP55" s="86">
        <f>IFERROR(SUMIFS('Cable Data Master'!$I:$I,'Cable Data Master'!$A:$A,$BF55,'Cable Data Master'!$B:$B,$BG55,'Cable Data Master'!$C:$C,$BH55,'Cable Data Master'!$D:$D,$BI55,'Cable Data Master'!$E:$E,$BJ55,'Cable Data Master'!$F:$F,$BK55),"")</f>
        <v>0</v>
      </c>
      <c r="BQ55" s="86">
        <f>IFERROR(SUMIFS('Cable Data Master'!$J:$J,'Cable Data Master'!$A:$A,$BF55,'Cable Data Master'!$B:$B,$BG55,'Cable Data Master'!$C:$C,$BH55,'Cable Data Master'!$D:$D,$BI55,'Cable Data Master'!$E:$E,$BJ55,'Cable Data Master'!$F:$F,$BK55),"")</f>
        <v>0</v>
      </c>
      <c r="BR55" s="86"/>
    </row>
    <row r="56" spans="1:70" s="87" customFormat="1" ht="30" customHeight="1" x14ac:dyDescent="0.35">
      <c r="A56" s="72">
        <v>53</v>
      </c>
      <c r="B56" s="73"/>
      <c r="C56" s="73"/>
      <c r="D56" s="74">
        <v>4.5</v>
      </c>
      <c r="E56" s="74"/>
      <c r="F56" s="74" t="s">
        <v>132</v>
      </c>
      <c r="G56" s="72" t="str">
        <f>IF(OR(C56="",D56="",E56="",H56="",J56="",K56="",L56="",M56="",N56="",O56="",P56="",Q56="",R56="",S56=""),"",IFERROR(LOOKUP(2,1/(('AUTO ENGINE'!$A$2:$A$1201=ROW())*('AUTO ENGINE'!$M$2:$M$1201=1)),'AUTO ENGINE'!$B$2:$B$1201),"NO CABLE PASSES"))</f>
        <v/>
      </c>
      <c r="H56" s="73" t="s">
        <v>133</v>
      </c>
      <c r="I56" s="72">
        <f t="shared" si="42"/>
        <v>0</v>
      </c>
      <c r="J56" s="73">
        <v>1</v>
      </c>
      <c r="K56" s="73">
        <v>415</v>
      </c>
      <c r="L56" s="73">
        <v>0.53</v>
      </c>
      <c r="M56" s="73">
        <v>0.85</v>
      </c>
      <c r="N56" s="73">
        <v>0.95399999999999996</v>
      </c>
      <c r="O56" s="73"/>
      <c r="P56" s="73">
        <v>1.5</v>
      </c>
      <c r="Q56" s="73">
        <v>0.3</v>
      </c>
      <c r="R56" s="72">
        <f t="shared" si="43"/>
        <v>0</v>
      </c>
      <c r="S56" s="73">
        <v>0.2</v>
      </c>
      <c r="T56" s="72">
        <f t="shared" si="44"/>
        <v>0</v>
      </c>
      <c r="U56" s="72">
        <f t="shared" si="80"/>
        <v>0</v>
      </c>
      <c r="V56" s="72">
        <f t="shared" si="45"/>
        <v>0</v>
      </c>
      <c r="W56" s="72">
        <f t="shared" si="46"/>
        <v>0</v>
      </c>
      <c r="X56" s="72">
        <f t="shared" si="47"/>
        <v>0</v>
      </c>
      <c r="Y56" s="72">
        <f t="shared" si="48"/>
        <v>0</v>
      </c>
      <c r="Z56" s="72" t="str">
        <f t="shared" si="49"/>
        <v>PASS</v>
      </c>
      <c r="AA56" s="72">
        <f t="shared" si="50"/>
        <v>0</v>
      </c>
      <c r="AB56" s="72">
        <f t="shared" si="51"/>
        <v>0.95393920141694566</v>
      </c>
      <c r="AC56" s="72">
        <f t="shared" si="52"/>
        <v>0</v>
      </c>
      <c r="AD56" s="72">
        <f t="shared" si="53"/>
        <v>0</v>
      </c>
      <c r="AE56" s="72">
        <f t="shared" si="54"/>
        <v>0</v>
      </c>
      <c r="AF56" s="72" t="str">
        <f>IF(OR(AE56="",AD56=""),"",IF(AE56&lt;='OS-DORAEN'!$B$6,"PASS","FAIL"))</f>
        <v>PASS</v>
      </c>
      <c r="AG56" s="72">
        <f t="shared" si="55"/>
        <v>0.52678268764263703</v>
      </c>
      <c r="AH56" s="72">
        <f t="shared" si="56"/>
        <v>0</v>
      </c>
      <c r="AI56" s="72">
        <f t="shared" si="57"/>
        <v>0</v>
      </c>
      <c r="AJ56" s="72">
        <f t="shared" si="58"/>
        <v>0</v>
      </c>
      <c r="AK56" s="72" t="str">
        <f>IF(OR(AJ56="",AI56=""),"",IF(AJ56&lt;='OS-DORAEN'!$B$5,"PASS","FAIL"))</f>
        <v>PASS</v>
      </c>
      <c r="AL56" s="72" t="str">
        <f t="shared" si="59"/>
        <v/>
      </c>
      <c r="AM56" s="72" t="str">
        <f t="shared" si="60"/>
        <v/>
      </c>
      <c r="AN56" s="72" t="str">
        <f t="shared" si="61"/>
        <v/>
      </c>
      <c r="AO56" s="72" t="str">
        <f t="shared" si="62"/>
        <v>PASS</v>
      </c>
      <c r="AP56" s="72" t="str">
        <f t="shared" si="63"/>
        <v/>
      </c>
      <c r="AQ56" s="72" t="str">
        <f t="shared" si="64"/>
        <v/>
      </c>
      <c r="AR56" s="72" t="str">
        <f t="shared" si="81"/>
        <v/>
      </c>
      <c r="AS56" s="72">
        <f t="shared" si="65"/>
        <v>0</v>
      </c>
      <c r="AT56" s="72">
        <f>IF(AS56="","",IF(AS56&lt;=Lists!$J$2,Lists!$J$2,IFERROR(INDEX(Lists!$J$2:$J$28,IF(INDEX(Lists!$J$2:$J$28,MATCH(AS56,Lists!$J$2:$J$28,1))=AS56,MATCH(AS56,Lists!$J$2:$J$28,1),MATCH(AS56,Lists!$J$2:$J$28,1)+1)),"NO STANDARD CB")))</f>
        <v>16</v>
      </c>
      <c r="AU56" s="72" t="str">
        <f t="shared" si="66"/>
        <v>Manufacturer-specific adjustable trip unit</v>
      </c>
      <c r="AV56" s="72">
        <f t="shared" si="67"/>
        <v>0</v>
      </c>
      <c r="AW56" s="72" t="str">
        <f t="shared" si="68"/>
        <v>Verify manufacturer instantaneous/magnetic pickup</v>
      </c>
      <c r="AX56" s="72" t="str">
        <f t="shared" si="69"/>
        <v>VERIFY MANUFACTURER</v>
      </c>
      <c r="AY56" s="72" t="str">
        <f t="shared" si="70"/>
        <v>PASS</v>
      </c>
      <c r="AZ56" s="72" t="str">
        <f t="shared" si="71"/>
        <v>16 A MCCB; target Ir 0.0 A; manufacturer trip-unit verification required</v>
      </c>
      <c r="BA56" s="73"/>
      <c r="BB56" s="72" t="str">
        <f t="shared" si="72"/>
        <v>ENTER CB Icu/Ics</v>
      </c>
      <c r="BC56" s="72" t="str">
        <f t="shared" si="73"/>
        <v>Enter manufacturer CB Icu/Ics. Required ≥ 0.00 kA</v>
      </c>
      <c r="BD56" s="72" t="str">
        <f>IF(OR(AS56="",AT56="",AV56=""),"",IF(AND(AT56&gt;=AS56,COUNTIF(Lists!$J$2:$J$28,AT56)&gt;0,AV56&gt;=AS56,AV56&lt;=AT56),"PASS","FAIL - REVIEW MCCB FRAME/TRIP UNIT"))</f>
        <v>PASS</v>
      </c>
      <c r="BE56" s="86"/>
      <c r="BF56" s="86" t="str">
        <f t="shared" si="74"/>
        <v>XLPE</v>
      </c>
      <c r="BG56" s="86" t="str">
        <f t="shared" si="75"/>
        <v>3C</v>
      </c>
      <c r="BH56" s="86" t="str">
        <f t="shared" si="76"/>
        <v>Al</v>
      </c>
      <c r="BI56" s="86" t="str">
        <f t="shared" si="77"/>
        <v>XLPE</v>
      </c>
      <c r="BJ56" s="86" t="str">
        <f t="shared" si="78"/>
        <v>Armoured</v>
      </c>
      <c r="BK56" s="86" t="str">
        <f t="shared" si="79"/>
        <v/>
      </c>
      <c r="BL56" s="86">
        <f>IFERROR(SUMIFS('Cable Data Master'!$K:$K,'Cable Data Master'!$A:$A,$BF56,'Cable Data Master'!$B:$B,$BG56,'Cable Data Master'!$C:$C,$BH56,'Cable Data Master'!$D:$D,$BI56,'Cable Data Master'!$E:$E,$BJ56,'Cable Data Master'!$F:$F,$BK56),"")</f>
        <v>0</v>
      </c>
      <c r="BM56" s="86">
        <f>IFERROR(SUMIFS('Cable Data Master'!$L:$L,'Cable Data Master'!$A:$A,$BF56,'Cable Data Master'!$B:$B,$BG56,'Cable Data Master'!$C:$C,$BH56,'Cable Data Master'!$D:$D,$BI56,'Cable Data Master'!$E:$E,$BJ56,'Cable Data Master'!$F:$F,$BK56),"")</f>
        <v>0</v>
      </c>
      <c r="BN56" s="86">
        <f>IFERROR(SUMIFS('Cable Data Master'!$G:$G,'Cable Data Master'!$A:$A,$BF56,'Cable Data Master'!$B:$B,$BG56,'Cable Data Master'!$C:$C,$BH56,'Cable Data Master'!$D:$D,$BI56,'Cable Data Master'!$E:$E,$BJ56,'Cable Data Master'!$F:$F,$BK56),"")</f>
        <v>0</v>
      </c>
      <c r="BO56" s="86">
        <f>IFERROR(SUMIFS('Cable Data Master'!$H:$H,'Cable Data Master'!$A:$A,$BF56,'Cable Data Master'!$B:$B,$BG56,'Cable Data Master'!$C:$C,$BH56,'Cable Data Master'!$D:$D,$BI56,'Cable Data Master'!$E:$E,$BJ56,'Cable Data Master'!$F:$F,$BK56),"")</f>
        <v>0</v>
      </c>
      <c r="BP56" s="86">
        <f>IFERROR(SUMIFS('Cable Data Master'!$I:$I,'Cable Data Master'!$A:$A,$BF56,'Cable Data Master'!$B:$B,$BG56,'Cable Data Master'!$C:$C,$BH56,'Cable Data Master'!$D:$D,$BI56,'Cable Data Master'!$E:$E,$BJ56,'Cable Data Master'!$F:$F,$BK56),"")</f>
        <v>0</v>
      </c>
      <c r="BQ56" s="86">
        <f>IFERROR(SUMIFS('Cable Data Master'!$J:$J,'Cable Data Master'!$A:$A,$BF56,'Cable Data Master'!$B:$B,$BG56,'Cable Data Master'!$C:$C,$BH56,'Cable Data Master'!$D:$D,$BI56,'Cable Data Master'!$E:$E,$BJ56,'Cable Data Master'!$F:$F,$BK56),"")</f>
        <v>0</v>
      </c>
      <c r="BR56" s="86"/>
    </row>
    <row r="57" spans="1:70" s="87" customFormat="1" ht="30" customHeight="1" x14ac:dyDescent="0.35">
      <c r="A57" s="72">
        <v>54</v>
      </c>
      <c r="B57" s="73"/>
      <c r="C57" s="73"/>
      <c r="D57" s="74">
        <v>4.5</v>
      </c>
      <c r="E57" s="74"/>
      <c r="F57" s="74" t="s">
        <v>132</v>
      </c>
      <c r="G57" s="72" t="str">
        <f>IF(OR(C57="",D57="",E57="",H57="",J57="",K57="",L57="",M57="",N57="",O57="",P57="",Q57="",R57="",S57=""),"",IFERROR(LOOKUP(2,1/(('AUTO ENGINE'!$A$2:$A$1201=ROW())*('AUTO ENGINE'!$M$2:$M$1201=1)),'AUTO ENGINE'!$B$2:$B$1201),"NO CABLE PASSES"))</f>
        <v/>
      </c>
      <c r="H57" s="73" t="s">
        <v>133</v>
      </c>
      <c r="I57" s="72">
        <f t="shared" si="42"/>
        <v>0</v>
      </c>
      <c r="J57" s="73">
        <v>1</v>
      </c>
      <c r="K57" s="73">
        <v>415</v>
      </c>
      <c r="L57" s="73">
        <v>0.53</v>
      </c>
      <c r="M57" s="73">
        <v>0.85</v>
      </c>
      <c r="N57" s="73">
        <v>0.95399999999999996</v>
      </c>
      <c r="O57" s="73"/>
      <c r="P57" s="73">
        <v>1.5</v>
      </c>
      <c r="Q57" s="73">
        <v>0.3</v>
      </c>
      <c r="R57" s="72">
        <f t="shared" si="43"/>
        <v>0</v>
      </c>
      <c r="S57" s="73">
        <v>0.2</v>
      </c>
      <c r="T57" s="72">
        <f t="shared" si="44"/>
        <v>0</v>
      </c>
      <c r="U57" s="72">
        <f t="shared" si="80"/>
        <v>0</v>
      </c>
      <c r="V57" s="72">
        <f t="shared" si="45"/>
        <v>0</v>
      </c>
      <c r="W57" s="72">
        <f t="shared" si="46"/>
        <v>0</v>
      </c>
      <c r="X57" s="72">
        <f t="shared" si="47"/>
        <v>0</v>
      </c>
      <c r="Y57" s="72">
        <f t="shared" si="48"/>
        <v>0</v>
      </c>
      <c r="Z57" s="72" t="str">
        <f t="shared" si="49"/>
        <v>PASS</v>
      </c>
      <c r="AA57" s="72">
        <f t="shared" si="50"/>
        <v>0</v>
      </c>
      <c r="AB57" s="72">
        <f t="shared" si="51"/>
        <v>0.95393920141694566</v>
      </c>
      <c r="AC57" s="72">
        <f t="shared" si="52"/>
        <v>0</v>
      </c>
      <c r="AD57" s="72">
        <f t="shared" si="53"/>
        <v>0</v>
      </c>
      <c r="AE57" s="72">
        <f t="shared" si="54"/>
        <v>0</v>
      </c>
      <c r="AF57" s="72" t="str">
        <f>IF(OR(AE57="",AD57=""),"",IF(AE57&lt;='OS-DORAEN'!$B$6,"PASS","FAIL"))</f>
        <v>PASS</v>
      </c>
      <c r="AG57" s="72">
        <f t="shared" si="55"/>
        <v>0.52678268764263703</v>
      </c>
      <c r="AH57" s="72">
        <f t="shared" si="56"/>
        <v>0</v>
      </c>
      <c r="AI57" s="72">
        <f t="shared" si="57"/>
        <v>0</v>
      </c>
      <c r="AJ57" s="72">
        <f t="shared" si="58"/>
        <v>0</v>
      </c>
      <c r="AK57" s="72" t="str">
        <f>IF(OR(AJ57="",AI57=""),"",IF(AJ57&lt;='OS-DORAEN'!$B$5,"PASS","FAIL"))</f>
        <v>PASS</v>
      </c>
      <c r="AL57" s="72" t="str">
        <f t="shared" si="59"/>
        <v/>
      </c>
      <c r="AM57" s="72" t="str">
        <f t="shared" si="60"/>
        <v/>
      </c>
      <c r="AN57" s="72" t="str">
        <f t="shared" si="61"/>
        <v/>
      </c>
      <c r="AO57" s="72" t="str">
        <f t="shared" si="62"/>
        <v>PASS</v>
      </c>
      <c r="AP57" s="72" t="str">
        <f t="shared" si="63"/>
        <v/>
      </c>
      <c r="AQ57" s="72" t="str">
        <f t="shared" si="64"/>
        <v/>
      </c>
      <c r="AR57" s="72" t="str">
        <f t="shared" si="81"/>
        <v/>
      </c>
      <c r="AS57" s="72">
        <f t="shared" si="65"/>
        <v>0</v>
      </c>
      <c r="AT57" s="72">
        <f>IF(AS57="","",IF(AS57&lt;=Lists!$J$2,Lists!$J$2,IFERROR(INDEX(Lists!$J$2:$J$28,IF(INDEX(Lists!$J$2:$J$28,MATCH(AS57,Lists!$J$2:$J$28,1))=AS57,MATCH(AS57,Lists!$J$2:$J$28,1),MATCH(AS57,Lists!$J$2:$J$28,1)+1)),"NO STANDARD CB")))</f>
        <v>16</v>
      </c>
      <c r="AU57" s="72" t="str">
        <f t="shared" si="66"/>
        <v>Manufacturer-specific adjustable trip unit</v>
      </c>
      <c r="AV57" s="72">
        <f t="shared" si="67"/>
        <v>0</v>
      </c>
      <c r="AW57" s="72" t="str">
        <f t="shared" si="68"/>
        <v>Verify manufacturer instantaneous/magnetic pickup</v>
      </c>
      <c r="AX57" s="72" t="str">
        <f t="shared" si="69"/>
        <v>VERIFY MANUFACTURER</v>
      </c>
      <c r="AY57" s="72" t="str">
        <f t="shared" si="70"/>
        <v>PASS</v>
      </c>
      <c r="AZ57" s="72" t="str">
        <f t="shared" si="71"/>
        <v>16 A MCCB; target Ir 0.0 A; manufacturer trip-unit verification required</v>
      </c>
      <c r="BA57" s="73"/>
      <c r="BB57" s="72" t="str">
        <f t="shared" si="72"/>
        <v>ENTER CB Icu/Ics</v>
      </c>
      <c r="BC57" s="72" t="str">
        <f t="shared" si="73"/>
        <v>Enter manufacturer CB Icu/Ics. Required ≥ 0.00 kA</v>
      </c>
      <c r="BD57" s="72" t="str">
        <f>IF(OR(AS57="",AT57="",AV57=""),"",IF(AND(AT57&gt;=AS57,COUNTIF(Lists!$J$2:$J$28,AT57)&gt;0,AV57&gt;=AS57,AV57&lt;=AT57),"PASS","FAIL - REVIEW MCCB FRAME/TRIP UNIT"))</f>
        <v>PASS</v>
      </c>
      <c r="BE57" s="86"/>
      <c r="BF57" s="86" t="str">
        <f t="shared" si="74"/>
        <v>XLPE</v>
      </c>
      <c r="BG57" s="86" t="str">
        <f t="shared" si="75"/>
        <v>3C</v>
      </c>
      <c r="BH57" s="86" t="str">
        <f t="shared" si="76"/>
        <v>Al</v>
      </c>
      <c r="BI57" s="86" t="str">
        <f t="shared" si="77"/>
        <v>XLPE</v>
      </c>
      <c r="BJ57" s="86" t="str">
        <f t="shared" si="78"/>
        <v>Armoured</v>
      </c>
      <c r="BK57" s="86" t="str">
        <f t="shared" si="79"/>
        <v/>
      </c>
      <c r="BL57" s="86">
        <f>IFERROR(SUMIFS('Cable Data Master'!$K:$K,'Cable Data Master'!$A:$A,$BF57,'Cable Data Master'!$B:$B,$BG57,'Cable Data Master'!$C:$C,$BH57,'Cable Data Master'!$D:$D,$BI57,'Cable Data Master'!$E:$E,$BJ57,'Cable Data Master'!$F:$F,$BK57),"")</f>
        <v>0</v>
      </c>
      <c r="BM57" s="86">
        <f>IFERROR(SUMIFS('Cable Data Master'!$L:$L,'Cable Data Master'!$A:$A,$BF57,'Cable Data Master'!$B:$B,$BG57,'Cable Data Master'!$C:$C,$BH57,'Cable Data Master'!$D:$D,$BI57,'Cable Data Master'!$E:$E,$BJ57,'Cable Data Master'!$F:$F,$BK57),"")</f>
        <v>0</v>
      </c>
      <c r="BN57" s="86">
        <f>IFERROR(SUMIFS('Cable Data Master'!$G:$G,'Cable Data Master'!$A:$A,$BF57,'Cable Data Master'!$B:$B,$BG57,'Cable Data Master'!$C:$C,$BH57,'Cable Data Master'!$D:$D,$BI57,'Cable Data Master'!$E:$E,$BJ57,'Cable Data Master'!$F:$F,$BK57),"")</f>
        <v>0</v>
      </c>
      <c r="BO57" s="86">
        <f>IFERROR(SUMIFS('Cable Data Master'!$H:$H,'Cable Data Master'!$A:$A,$BF57,'Cable Data Master'!$B:$B,$BG57,'Cable Data Master'!$C:$C,$BH57,'Cable Data Master'!$D:$D,$BI57,'Cable Data Master'!$E:$E,$BJ57,'Cable Data Master'!$F:$F,$BK57),"")</f>
        <v>0</v>
      </c>
      <c r="BP57" s="86">
        <f>IFERROR(SUMIFS('Cable Data Master'!$I:$I,'Cable Data Master'!$A:$A,$BF57,'Cable Data Master'!$B:$B,$BG57,'Cable Data Master'!$C:$C,$BH57,'Cable Data Master'!$D:$D,$BI57,'Cable Data Master'!$E:$E,$BJ57,'Cable Data Master'!$F:$F,$BK57),"")</f>
        <v>0</v>
      </c>
      <c r="BQ57" s="86">
        <f>IFERROR(SUMIFS('Cable Data Master'!$J:$J,'Cable Data Master'!$A:$A,$BF57,'Cable Data Master'!$B:$B,$BG57,'Cable Data Master'!$C:$C,$BH57,'Cable Data Master'!$D:$D,$BI57,'Cable Data Master'!$E:$E,$BJ57,'Cable Data Master'!$F:$F,$BK57),"")</f>
        <v>0</v>
      </c>
      <c r="BR57" s="86"/>
    </row>
    <row r="58" spans="1:70" s="87" customFormat="1" ht="30" customHeight="1" x14ac:dyDescent="0.35">
      <c r="A58" s="72">
        <v>55</v>
      </c>
      <c r="B58" s="73"/>
      <c r="C58" s="73"/>
      <c r="D58" s="74">
        <v>4.5</v>
      </c>
      <c r="E58" s="74"/>
      <c r="F58" s="74" t="s">
        <v>132</v>
      </c>
      <c r="G58" s="72" t="str">
        <f>IF(OR(C58="",D58="",E58="",H58="",J58="",K58="",L58="",M58="",N58="",O58="",P58="",Q58="",R58="",S58=""),"",IFERROR(LOOKUP(2,1/(('AUTO ENGINE'!$A$2:$A$1201=ROW())*('AUTO ENGINE'!$M$2:$M$1201=1)),'AUTO ENGINE'!$B$2:$B$1201),"NO CABLE PASSES"))</f>
        <v/>
      </c>
      <c r="H58" s="73" t="s">
        <v>133</v>
      </c>
      <c r="I58" s="72">
        <f t="shared" si="42"/>
        <v>0</v>
      </c>
      <c r="J58" s="73">
        <v>1</v>
      </c>
      <c r="K58" s="73">
        <v>415</v>
      </c>
      <c r="L58" s="73">
        <v>0.53</v>
      </c>
      <c r="M58" s="73">
        <v>0.85</v>
      </c>
      <c r="N58" s="73">
        <v>0.95399999999999996</v>
      </c>
      <c r="O58" s="73"/>
      <c r="P58" s="73">
        <v>1.5</v>
      </c>
      <c r="Q58" s="73">
        <v>0.3</v>
      </c>
      <c r="R58" s="72">
        <f t="shared" si="43"/>
        <v>0</v>
      </c>
      <c r="S58" s="73">
        <v>0.2</v>
      </c>
      <c r="T58" s="72">
        <f t="shared" si="44"/>
        <v>0</v>
      </c>
      <c r="U58" s="72">
        <f t="shared" si="80"/>
        <v>0</v>
      </c>
      <c r="V58" s="72">
        <f t="shared" si="45"/>
        <v>0</v>
      </c>
      <c r="W58" s="72">
        <f t="shared" si="46"/>
        <v>0</v>
      </c>
      <c r="X58" s="72">
        <f t="shared" si="47"/>
        <v>0</v>
      </c>
      <c r="Y58" s="72">
        <f t="shared" si="48"/>
        <v>0</v>
      </c>
      <c r="Z58" s="72" t="str">
        <f t="shared" si="49"/>
        <v>PASS</v>
      </c>
      <c r="AA58" s="72">
        <f t="shared" si="50"/>
        <v>0</v>
      </c>
      <c r="AB58" s="72">
        <f t="shared" si="51"/>
        <v>0.95393920141694566</v>
      </c>
      <c r="AC58" s="72">
        <f t="shared" si="52"/>
        <v>0</v>
      </c>
      <c r="AD58" s="72">
        <f t="shared" si="53"/>
        <v>0</v>
      </c>
      <c r="AE58" s="72">
        <f t="shared" si="54"/>
        <v>0</v>
      </c>
      <c r="AF58" s="72" t="str">
        <f>IF(OR(AE58="",AD58=""),"",IF(AE58&lt;='OS-DORAEN'!$B$6,"PASS","FAIL"))</f>
        <v>PASS</v>
      </c>
      <c r="AG58" s="72">
        <f t="shared" si="55"/>
        <v>0.52678268764263703</v>
      </c>
      <c r="AH58" s="72">
        <f t="shared" si="56"/>
        <v>0</v>
      </c>
      <c r="AI58" s="72">
        <f t="shared" si="57"/>
        <v>0</v>
      </c>
      <c r="AJ58" s="72">
        <f t="shared" si="58"/>
        <v>0</v>
      </c>
      <c r="AK58" s="72" t="str">
        <f>IF(OR(AJ58="",AI58=""),"",IF(AJ58&lt;='OS-DORAEN'!$B$5,"PASS","FAIL"))</f>
        <v>PASS</v>
      </c>
      <c r="AL58" s="72" t="str">
        <f t="shared" si="59"/>
        <v/>
      </c>
      <c r="AM58" s="72" t="str">
        <f t="shared" si="60"/>
        <v/>
      </c>
      <c r="AN58" s="72" t="str">
        <f t="shared" si="61"/>
        <v/>
      </c>
      <c r="AO58" s="72" t="str">
        <f t="shared" si="62"/>
        <v>PASS</v>
      </c>
      <c r="AP58" s="72" t="str">
        <f t="shared" si="63"/>
        <v/>
      </c>
      <c r="AQ58" s="72" t="str">
        <f t="shared" si="64"/>
        <v/>
      </c>
      <c r="AR58" s="72" t="str">
        <f t="shared" si="81"/>
        <v/>
      </c>
      <c r="AS58" s="72">
        <f t="shared" si="65"/>
        <v>0</v>
      </c>
      <c r="AT58" s="72">
        <f>IF(AS58="","",IF(AS58&lt;=Lists!$J$2,Lists!$J$2,IFERROR(INDEX(Lists!$J$2:$J$28,IF(INDEX(Lists!$J$2:$J$28,MATCH(AS58,Lists!$J$2:$J$28,1))=AS58,MATCH(AS58,Lists!$J$2:$J$28,1),MATCH(AS58,Lists!$J$2:$J$28,1)+1)),"NO STANDARD CB")))</f>
        <v>16</v>
      </c>
      <c r="AU58" s="72" t="str">
        <f t="shared" si="66"/>
        <v>Manufacturer-specific adjustable trip unit</v>
      </c>
      <c r="AV58" s="72">
        <f t="shared" si="67"/>
        <v>0</v>
      </c>
      <c r="AW58" s="72" t="str">
        <f t="shared" si="68"/>
        <v>Verify manufacturer instantaneous/magnetic pickup</v>
      </c>
      <c r="AX58" s="72" t="str">
        <f t="shared" si="69"/>
        <v>VERIFY MANUFACTURER</v>
      </c>
      <c r="AY58" s="72" t="str">
        <f t="shared" si="70"/>
        <v>PASS</v>
      </c>
      <c r="AZ58" s="72" t="str">
        <f t="shared" si="71"/>
        <v>16 A MCCB; target Ir 0.0 A; manufacturer trip-unit verification required</v>
      </c>
      <c r="BA58" s="73"/>
      <c r="BB58" s="72" t="str">
        <f t="shared" si="72"/>
        <v>ENTER CB Icu/Ics</v>
      </c>
      <c r="BC58" s="72" t="str">
        <f t="shared" si="73"/>
        <v>Enter manufacturer CB Icu/Ics. Required ≥ 0.00 kA</v>
      </c>
      <c r="BD58" s="72" t="str">
        <f>IF(OR(AS58="",AT58="",AV58=""),"",IF(AND(AT58&gt;=AS58,COUNTIF(Lists!$J$2:$J$28,AT58)&gt;0,AV58&gt;=AS58,AV58&lt;=AT58),"PASS","FAIL - REVIEW MCCB FRAME/TRIP UNIT"))</f>
        <v>PASS</v>
      </c>
      <c r="BE58" s="86"/>
      <c r="BF58" s="86" t="str">
        <f t="shared" si="74"/>
        <v>XLPE</v>
      </c>
      <c r="BG58" s="86" t="str">
        <f t="shared" si="75"/>
        <v>3C</v>
      </c>
      <c r="BH58" s="86" t="str">
        <f t="shared" si="76"/>
        <v>Al</v>
      </c>
      <c r="BI58" s="86" t="str">
        <f t="shared" si="77"/>
        <v>XLPE</v>
      </c>
      <c r="BJ58" s="86" t="str">
        <f t="shared" si="78"/>
        <v>Armoured</v>
      </c>
      <c r="BK58" s="86" t="str">
        <f t="shared" si="79"/>
        <v/>
      </c>
      <c r="BL58" s="86">
        <f>IFERROR(SUMIFS('Cable Data Master'!$K:$K,'Cable Data Master'!$A:$A,$BF58,'Cable Data Master'!$B:$B,$BG58,'Cable Data Master'!$C:$C,$BH58,'Cable Data Master'!$D:$D,$BI58,'Cable Data Master'!$E:$E,$BJ58,'Cable Data Master'!$F:$F,$BK58),"")</f>
        <v>0</v>
      </c>
      <c r="BM58" s="86">
        <f>IFERROR(SUMIFS('Cable Data Master'!$L:$L,'Cable Data Master'!$A:$A,$BF58,'Cable Data Master'!$B:$B,$BG58,'Cable Data Master'!$C:$C,$BH58,'Cable Data Master'!$D:$D,$BI58,'Cable Data Master'!$E:$E,$BJ58,'Cable Data Master'!$F:$F,$BK58),"")</f>
        <v>0</v>
      </c>
      <c r="BN58" s="86">
        <f>IFERROR(SUMIFS('Cable Data Master'!$G:$G,'Cable Data Master'!$A:$A,$BF58,'Cable Data Master'!$B:$B,$BG58,'Cable Data Master'!$C:$C,$BH58,'Cable Data Master'!$D:$D,$BI58,'Cable Data Master'!$E:$E,$BJ58,'Cable Data Master'!$F:$F,$BK58),"")</f>
        <v>0</v>
      </c>
      <c r="BO58" s="86">
        <f>IFERROR(SUMIFS('Cable Data Master'!$H:$H,'Cable Data Master'!$A:$A,$BF58,'Cable Data Master'!$B:$B,$BG58,'Cable Data Master'!$C:$C,$BH58,'Cable Data Master'!$D:$D,$BI58,'Cable Data Master'!$E:$E,$BJ58,'Cable Data Master'!$F:$F,$BK58),"")</f>
        <v>0</v>
      </c>
      <c r="BP58" s="86">
        <f>IFERROR(SUMIFS('Cable Data Master'!$I:$I,'Cable Data Master'!$A:$A,$BF58,'Cable Data Master'!$B:$B,$BG58,'Cable Data Master'!$C:$C,$BH58,'Cable Data Master'!$D:$D,$BI58,'Cable Data Master'!$E:$E,$BJ58,'Cable Data Master'!$F:$F,$BK58),"")</f>
        <v>0</v>
      </c>
      <c r="BQ58" s="86">
        <f>IFERROR(SUMIFS('Cable Data Master'!$J:$J,'Cable Data Master'!$A:$A,$BF58,'Cable Data Master'!$B:$B,$BG58,'Cable Data Master'!$C:$C,$BH58,'Cable Data Master'!$D:$D,$BI58,'Cable Data Master'!$E:$E,$BJ58,'Cable Data Master'!$F:$F,$BK58),"")</f>
        <v>0</v>
      </c>
      <c r="BR58" s="86"/>
    </row>
    <row r="59" spans="1:70" s="87" customFormat="1" ht="30" customHeight="1" x14ac:dyDescent="0.35">
      <c r="A59" s="72">
        <v>56</v>
      </c>
      <c r="B59" s="73"/>
      <c r="C59" s="73"/>
      <c r="D59" s="74">
        <v>4.5</v>
      </c>
      <c r="E59" s="74"/>
      <c r="F59" s="74" t="s">
        <v>132</v>
      </c>
      <c r="G59" s="72" t="str">
        <f>IF(OR(C59="",D59="",E59="",H59="",J59="",K59="",L59="",M59="",N59="",O59="",P59="",Q59="",R59="",S59=""),"",IFERROR(LOOKUP(2,1/(('AUTO ENGINE'!$A$2:$A$1201=ROW())*('AUTO ENGINE'!$M$2:$M$1201=1)),'AUTO ENGINE'!$B$2:$B$1201),"NO CABLE PASSES"))</f>
        <v/>
      </c>
      <c r="H59" s="73" t="s">
        <v>133</v>
      </c>
      <c r="I59" s="72">
        <f t="shared" si="42"/>
        <v>0</v>
      </c>
      <c r="J59" s="73">
        <v>1</v>
      </c>
      <c r="K59" s="73">
        <v>415</v>
      </c>
      <c r="L59" s="73">
        <v>0.53</v>
      </c>
      <c r="M59" s="73">
        <v>0.85</v>
      </c>
      <c r="N59" s="73">
        <v>0.95399999999999996</v>
      </c>
      <c r="O59" s="73"/>
      <c r="P59" s="73">
        <v>1.5</v>
      </c>
      <c r="Q59" s="73">
        <v>0.3</v>
      </c>
      <c r="R59" s="72">
        <f t="shared" si="43"/>
        <v>0</v>
      </c>
      <c r="S59" s="73">
        <v>0.2</v>
      </c>
      <c r="T59" s="72">
        <f t="shared" si="44"/>
        <v>0</v>
      </c>
      <c r="U59" s="72">
        <f t="shared" si="80"/>
        <v>0</v>
      </c>
      <c r="V59" s="72">
        <f t="shared" si="45"/>
        <v>0</v>
      </c>
      <c r="W59" s="72">
        <f t="shared" si="46"/>
        <v>0</v>
      </c>
      <c r="X59" s="72">
        <f t="shared" si="47"/>
        <v>0</v>
      </c>
      <c r="Y59" s="72">
        <f t="shared" si="48"/>
        <v>0</v>
      </c>
      <c r="Z59" s="72" t="str">
        <f t="shared" si="49"/>
        <v>PASS</v>
      </c>
      <c r="AA59" s="72">
        <f t="shared" si="50"/>
        <v>0</v>
      </c>
      <c r="AB59" s="72">
        <f t="shared" si="51"/>
        <v>0.95393920141694566</v>
      </c>
      <c r="AC59" s="72">
        <f t="shared" si="52"/>
        <v>0</v>
      </c>
      <c r="AD59" s="72">
        <f t="shared" si="53"/>
        <v>0</v>
      </c>
      <c r="AE59" s="72">
        <f t="shared" si="54"/>
        <v>0</v>
      </c>
      <c r="AF59" s="72" t="str">
        <f>IF(OR(AE59="",AD59=""),"",IF(AE59&lt;='OS-DORAEN'!$B$6,"PASS","FAIL"))</f>
        <v>PASS</v>
      </c>
      <c r="AG59" s="72">
        <f t="shared" si="55"/>
        <v>0.52678268764263703</v>
      </c>
      <c r="AH59" s="72">
        <f t="shared" si="56"/>
        <v>0</v>
      </c>
      <c r="AI59" s="72">
        <f t="shared" si="57"/>
        <v>0</v>
      </c>
      <c r="AJ59" s="72">
        <f t="shared" si="58"/>
        <v>0</v>
      </c>
      <c r="AK59" s="72" t="str">
        <f>IF(OR(AJ59="",AI59=""),"",IF(AJ59&lt;='OS-DORAEN'!$B$5,"PASS","FAIL"))</f>
        <v>PASS</v>
      </c>
      <c r="AL59" s="72" t="str">
        <f t="shared" si="59"/>
        <v/>
      </c>
      <c r="AM59" s="72" t="str">
        <f t="shared" si="60"/>
        <v/>
      </c>
      <c r="AN59" s="72" t="str">
        <f t="shared" si="61"/>
        <v/>
      </c>
      <c r="AO59" s="72" t="str">
        <f t="shared" si="62"/>
        <v>PASS</v>
      </c>
      <c r="AP59" s="72" t="str">
        <f t="shared" si="63"/>
        <v/>
      </c>
      <c r="AQ59" s="72" t="str">
        <f t="shared" si="64"/>
        <v/>
      </c>
      <c r="AR59" s="72" t="str">
        <f t="shared" si="81"/>
        <v/>
      </c>
      <c r="AS59" s="72">
        <f t="shared" si="65"/>
        <v>0</v>
      </c>
      <c r="AT59" s="72">
        <f>IF(AS59="","",IF(AS59&lt;=Lists!$J$2,Lists!$J$2,IFERROR(INDEX(Lists!$J$2:$J$28,IF(INDEX(Lists!$J$2:$J$28,MATCH(AS59,Lists!$J$2:$J$28,1))=AS59,MATCH(AS59,Lists!$J$2:$J$28,1),MATCH(AS59,Lists!$J$2:$J$28,1)+1)),"NO STANDARD CB")))</f>
        <v>16</v>
      </c>
      <c r="AU59" s="72" t="str">
        <f t="shared" si="66"/>
        <v>Manufacturer-specific adjustable trip unit</v>
      </c>
      <c r="AV59" s="72">
        <f t="shared" si="67"/>
        <v>0</v>
      </c>
      <c r="AW59" s="72" t="str">
        <f t="shared" si="68"/>
        <v>Verify manufacturer instantaneous/magnetic pickup</v>
      </c>
      <c r="AX59" s="72" t="str">
        <f t="shared" si="69"/>
        <v>VERIFY MANUFACTURER</v>
      </c>
      <c r="AY59" s="72" t="str">
        <f t="shared" si="70"/>
        <v>PASS</v>
      </c>
      <c r="AZ59" s="72" t="str">
        <f t="shared" si="71"/>
        <v>16 A MCCB; target Ir 0.0 A; manufacturer trip-unit verification required</v>
      </c>
      <c r="BA59" s="73"/>
      <c r="BB59" s="72" t="str">
        <f t="shared" si="72"/>
        <v>ENTER CB Icu/Ics</v>
      </c>
      <c r="BC59" s="72" t="str">
        <f t="shared" si="73"/>
        <v>Enter manufacturer CB Icu/Ics. Required ≥ 0.00 kA</v>
      </c>
      <c r="BD59" s="72" t="str">
        <f>IF(OR(AS59="",AT59="",AV59=""),"",IF(AND(AT59&gt;=AS59,COUNTIF(Lists!$J$2:$J$28,AT59)&gt;0,AV59&gt;=AS59,AV59&lt;=AT59),"PASS","FAIL - REVIEW MCCB FRAME/TRIP UNIT"))</f>
        <v>PASS</v>
      </c>
      <c r="BE59" s="86"/>
      <c r="BF59" s="86" t="str">
        <f t="shared" si="74"/>
        <v>XLPE</v>
      </c>
      <c r="BG59" s="86" t="str">
        <f t="shared" si="75"/>
        <v>3C</v>
      </c>
      <c r="BH59" s="86" t="str">
        <f t="shared" si="76"/>
        <v>Al</v>
      </c>
      <c r="BI59" s="86" t="str">
        <f t="shared" si="77"/>
        <v>XLPE</v>
      </c>
      <c r="BJ59" s="86" t="str">
        <f t="shared" si="78"/>
        <v>Armoured</v>
      </c>
      <c r="BK59" s="86" t="str">
        <f t="shared" si="79"/>
        <v/>
      </c>
      <c r="BL59" s="86">
        <f>IFERROR(SUMIFS('Cable Data Master'!$K:$K,'Cable Data Master'!$A:$A,$BF59,'Cable Data Master'!$B:$B,$BG59,'Cable Data Master'!$C:$C,$BH59,'Cable Data Master'!$D:$D,$BI59,'Cable Data Master'!$E:$E,$BJ59,'Cable Data Master'!$F:$F,$BK59),"")</f>
        <v>0</v>
      </c>
      <c r="BM59" s="86">
        <f>IFERROR(SUMIFS('Cable Data Master'!$L:$L,'Cable Data Master'!$A:$A,$BF59,'Cable Data Master'!$B:$B,$BG59,'Cable Data Master'!$C:$C,$BH59,'Cable Data Master'!$D:$D,$BI59,'Cable Data Master'!$E:$E,$BJ59,'Cable Data Master'!$F:$F,$BK59),"")</f>
        <v>0</v>
      </c>
      <c r="BN59" s="86">
        <f>IFERROR(SUMIFS('Cable Data Master'!$G:$G,'Cable Data Master'!$A:$A,$BF59,'Cable Data Master'!$B:$B,$BG59,'Cable Data Master'!$C:$C,$BH59,'Cable Data Master'!$D:$D,$BI59,'Cable Data Master'!$E:$E,$BJ59,'Cable Data Master'!$F:$F,$BK59),"")</f>
        <v>0</v>
      </c>
      <c r="BO59" s="86">
        <f>IFERROR(SUMIFS('Cable Data Master'!$H:$H,'Cable Data Master'!$A:$A,$BF59,'Cable Data Master'!$B:$B,$BG59,'Cable Data Master'!$C:$C,$BH59,'Cable Data Master'!$D:$D,$BI59,'Cable Data Master'!$E:$E,$BJ59,'Cable Data Master'!$F:$F,$BK59),"")</f>
        <v>0</v>
      </c>
      <c r="BP59" s="86">
        <f>IFERROR(SUMIFS('Cable Data Master'!$I:$I,'Cable Data Master'!$A:$A,$BF59,'Cable Data Master'!$B:$B,$BG59,'Cable Data Master'!$C:$C,$BH59,'Cable Data Master'!$D:$D,$BI59,'Cable Data Master'!$E:$E,$BJ59,'Cable Data Master'!$F:$F,$BK59),"")</f>
        <v>0</v>
      </c>
      <c r="BQ59" s="86">
        <f>IFERROR(SUMIFS('Cable Data Master'!$J:$J,'Cable Data Master'!$A:$A,$BF59,'Cable Data Master'!$B:$B,$BG59,'Cable Data Master'!$C:$C,$BH59,'Cable Data Master'!$D:$D,$BI59,'Cable Data Master'!$E:$E,$BJ59,'Cable Data Master'!$F:$F,$BK59),"")</f>
        <v>0</v>
      </c>
      <c r="BR59" s="86"/>
    </row>
    <row r="60" spans="1:70" s="87" customFormat="1" ht="30" customHeight="1" x14ac:dyDescent="0.35">
      <c r="A60" s="72">
        <v>57</v>
      </c>
      <c r="B60" s="73"/>
      <c r="C60" s="73"/>
      <c r="D60" s="74">
        <v>4.5</v>
      </c>
      <c r="E60" s="74"/>
      <c r="F60" s="74" t="s">
        <v>132</v>
      </c>
      <c r="G60" s="72" t="str">
        <f>IF(OR(C60="",D60="",E60="",H60="",J60="",K60="",L60="",M60="",N60="",O60="",P60="",Q60="",R60="",S60=""),"",IFERROR(LOOKUP(2,1/(('AUTO ENGINE'!$A$2:$A$1201=ROW())*('AUTO ENGINE'!$M$2:$M$1201=1)),'AUTO ENGINE'!$B$2:$B$1201),"NO CABLE PASSES"))</f>
        <v/>
      </c>
      <c r="H60" s="73" t="s">
        <v>133</v>
      </c>
      <c r="I60" s="72">
        <f t="shared" si="42"/>
        <v>0</v>
      </c>
      <c r="J60" s="73">
        <v>1</v>
      </c>
      <c r="K60" s="73">
        <v>415</v>
      </c>
      <c r="L60" s="73">
        <v>0.53</v>
      </c>
      <c r="M60" s="73">
        <v>0.85</v>
      </c>
      <c r="N60" s="73">
        <v>0.95399999999999996</v>
      </c>
      <c r="O60" s="73"/>
      <c r="P60" s="73">
        <v>1.5</v>
      </c>
      <c r="Q60" s="73">
        <v>0.3</v>
      </c>
      <c r="R60" s="72">
        <f t="shared" si="43"/>
        <v>0</v>
      </c>
      <c r="S60" s="73">
        <v>0.2</v>
      </c>
      <c r="T60" s="72">
        <f t="shared" si="44"/>
        <v>0</v>
      </c>
      <c r="U60" s="72">
        <f t="shared" si="80"/>
        <v>0</v>
      </c>
      <c r="V60" s="72">
        <f t="shared" si="45"/>
        <v>0</v>
      </c>
      <c r="W60" s="72">
        <f t="shared" si="46"/>
        <v>0</v>
      </c>
      <c r="X60" s="72">
        <f t="shared" si="47"/>
        <v>0</v>
      </c>
      <c r="Y60" s="72">
        <f t="shared" si="48"/>
        <v>0</v>
      </c>
      <c r="Z60" s="72" t="str">
        <f t="shared" si="49"/>
        <v>PASS</v>
      </c>
      <c r="AA60" s="72">
        <f t="shared" si="50"/>
        <v>0</v>
      </c>
      <c r="AB60" s="72">
        <f t="shared" si="51"/>
        <v>0.95393920141694566</v>
      </c>
      <c r="AC60" s="72">
        <f t="shared" si="52"/>
        <v>0</v>
      </c>
      <c r="AD60" s="72">
        <f t="shared" si="53"/>
        <v>0</v>
      </c>
      <c r="AE60" s="72">
        <f t="shared" si="54"/>
        <v>0</v>
      </c>
      <c r="AF60" s="72" t="str">
        <f>IF(OR(AE60="",AD60=""),"",IF(AE60&lt;='OS-DORAEN'!$B$6,"PASS","FAIL"))</f>
        <v>PASS</v>
      </c>
      <c r="AG60" s="72">
        <f t="shared" si="55"/>
        <v>0.52678268764263703</v>
      </c>
      <c r="AH60" s="72">
        <f t="shared" si="56"/>
        <v>0</v>
      </c>
      <c r="AI60" s="72">
        <f t="shared" si="57"/>
        <v>0</v>
      </c>
      <c r="AJ60" s="72">
        <f t="shared" si="58"/>
        <v>0</v>
      </c>
      <c r="AK60" s="72" t="str">
        <f>IF(OR(AJ60="",AI60=""),"",IF(AJ60&lt;='OS-DORAEN'!$B$5,"PASS","FAIL"))</f>
        <v>PASS</v>
      </c>
      <c r="AL60" s="72" t="str">
        <f t="shared" si="59"/>
        <v/>
      </c>
      <c r="AM60" s="72" t="str">
        <f t="shared" si="60"/>
        <v/>
      </c>
      <c r="AN60" s="72" t="str">
        <f t="shared" si="61"/>
        <v/>
      </c>
      <c r="AO60" s="72" t="str">
        <f t="shared" si="62"/>
        <v>PASS</v>
      </c>
      <c r="AP60" s="72" t="str">
        <f t="shared" si="63"/>
        <v/>
      </c>
      <c r="AQ60" s="72" t="str">
        <f t="shared" si="64"/>
        <v/>
      </c>
      <c r="AR60" s="72" t="str">
        <f t="shared" si="81"/>
        <v/>
      </c>
      <c r="AS60" s="72">
        <f t="shared" si="65"/>
        <v>0</v>
      </c>
      <c r="AT60" s="72">
        <f>IF(AS60="","",IF(AS60&lt;=Lists!$J$2,Lists!$J$2,IFERROR(INDEX(Lists!$J$2:$J$28,IF(INDEX(Lists!$J$2:$J$28,MATCH(AS60,Lists!$J$2:$J$28,1))=AS60,MATCH(AS60,Lists!$J$2:$J$28,1),MATCH(AS60,Lists!$J$2:$J$28,1)+1)),"NO STANDARD CB")))</f>
        <v>16</v>
      </c>
      <c r="AU60" s="72" t="str">
        <f t="shared" si="66"/>
        <v>Manufacturer-specific adjustable trip unit</v>
      </c>
      <c r="AV60" s="72">
        <f t="shared" si="67"/>
        <v>0</v>
      </c>
      <c r="AW60" s="72" t="str">
        <f t="shared" si="68"/>
        <v>Verify manufacturer instantaneous/magnetic pickup</v>
      </c>
      <c r="AX60" s="72" t="str">
        <f t="shared" si="69"/>
        <v>VERIFY MANUFACTURER</v>
      </c>
      <c r="AY60" s="72" t="str">
        <f t="shared" si="70"/>
        <v>PASS</v>
      </c>
      <c r="AZ60" s="72" t="str">
        <f t="shared" si="71"/>
        <v>16 A MCCB; target Ir 0.0 A; manufacturer trip-unit verification required</v>
      </c>
      <c r="BA60" s="73"/>
      <c r="BB60" s="72" t="str">
        <f t="shared" si="72"/>
        <v>ENTER CB Icu/Ics</v>
      </c>
      <c r="BC60" s="72" t="str">
        <f t="shared" si="73"/>
        <v>Enter manufacturer CB Icu/Ics. Required ≥ 0.00 kA</v>
      </c>
      <c r="BD60" s="72" t="str">
        <f>IF(OR(AS60="",AT60="",AV60=""),"",IF(AND(AT60&gt;=AS60,COUNTIF(Lists!$J$2:$J$28,AT60)&gt;0,AV60&gt;=AS60,AV60&lt;=AT60),"PASS","FAIL - REVIEW MCCB FRAME/TRIP UNIT"))</f>
        <v>PASS</v>
      </c>
      <c r="BE60" s="86"/>
      <c r="BF60" s="86" t="str">
        <f t="shared" si="74"/>
        <v>XLPE</v>
      </c>
      <c r="BG60" s="86" t="str">
        <f t="shared" si="75"/>
        <v>3C</v>
      </c>
      <c r="BH60" s="86" t="str">
        <f t="shared" si="76"/>
        <v>Al</v>
      </c>
      <c r="BI60" s="86" t="str">
        <f t="shared" si="77"/>
        <v>XLPE</v>
      </c>
      <c r="BJ60" s="86" t="str">
        <f t="shared" si="78"/>
        <v>Armoured</v>
      </c>
      <c r="BK60" s="86" t="str">
        <f t="shared" si="79"/>
        <v/>
      </c>
      <c r="BL60" s="86">
        <f>IFERROR(SUMIFS('Cable Data Master'!$K:$K,'Cable Data Master'!$A:$A,$BF60,'Cable Data Master'!$B:$B,$BG60,'Cable Data Master'!$C:$C,$BH60,'Cable Data Master'!$D:$D,$BI60,'Cable Data Master'!$E:$E,$BJ60,'Cable Data Master'!$F:$F,$BK60),"")</f>
        <v>0</v>
      </c>
      <c r="BM60" s="86">
        <f>IFERROR(SUMIFS('Cable Data Master'!$L:$L,'Cable Data Master'!$A:$A,$BF60,'Cable Data Master'!$B:$B,$BG60,'Cable Data Master'!$C:$C,$BH60,'Cable Data Master'!$D:$D,$BI60,'Cable Data Master'!$E:$E,$BJ60,'Cable Data Master'!$F:$F,$BK60),"")</f>
        <v>0</v>
      </c>
      <c r="BN60" s="86">
        <f>IFERROR(SUMIFS('Cable Data Master'!$G:$G,'Cable Data Master'!$A:$A,$BF60,'Cable Data Master'!$B:$B,$BG60,'Cable Data Master'!$C:$C,$BH60,'Cable Data Master'!$D:$D,$BI60,'Cable Data Master'!$E:$E,$BJ60,'Cable Data Master'!$F:$F,$BK60),"")</f>
        <v>0</v>
      </c>
      <c r="BO60" s="86">
        <f>IFERROR(SUMIFS('Cable Data Master'!$H:$H,'Cable Data Master'!$A:$A,$BF60,'Cable Data Master'!$B:$B,$BG60,'Cable Data Master'!$C:$C,$BH60,'Cable Data Master'!$D:$D,$BI60,'Cable Data Master'!$E:$E,$BJ60,'Cable Data Master'!$F:$F,$BK60),"")</f>
        <v>0</v>
      </c>
      <c r="BP60" s="86">
        <f>IFERROR(SUMIFS('Cable Data Master'!$I:$I,'Cable Data Master'!$A:$A,$BF60,'Cable Data Master'!$B:$B,$BG60,'Cable Data Master'!$C:$C,$BH60,'Cable Data Master'!$D:$D,$BI60,'Cable Data Master'!$E:$E,$BJ60,'Cable Data Master'!$F:$F,$BK60),"")</f>
        <v>0</v>
      </c>
      <c r="BQ60" s="86">
        <f>IFERROR(SUMIFS('Cable Data Master'!$J:$J,'Cable Data Master'!$A:$A,$BF60,'Cable Data Master'!$B:$B,$BG60,'Cable Data Master'!$C:$C,$BH60,'Cable Data Master'!$D:$D,$BI60,'Cable Data Master'!$E:$E,$BJ60,'Cable Data Master'!$F:$F,$BK60),"")</f>
        <v>0</v>
      </c>
      <c r="BR60" s="86"/>
    </row>
    <row r="61" spans="1:70" s="87" customFormat="1" ht="30" customHeight="1" x14ac:dyDescent="0.35">
      <c r="A61" s="72">
        <v>58</v>
      </c>
      <c r="B61" s="73"/>
      <c r="C61" s="73"/>
      <c r="D61" s="74">
        <v>4.5</v>
      </c>
      <c r="E61" s="74"/>
      <c r="F61" s="74" t="s">
        <v>132</v>
      </c>
      <c r="G61" s="72" t="str">
        <f>IF(OR(C61="",D61="",E61="",H61="",J61="",K61="",L61="",M61="",N61="",O61="",P61="",Q61="",R61="",S61=""),"",IFERROR(LOOKUP(2,1/(('AUTO ENGINE'!$A$2:$A$1201=ROW())*('AUTO ENGINE'!$M$2:$M$1201=1)),'AUTO ENGINE'!$B$2:$B$1201),"NO CABLE PASSES"))</f>
        <v/>
      </c>
      <c r="H61" s="73" t="s">
        <v>133</v>
      </c>
      <c r="I61" s="72">
        <f t="shared" si="42"/>
        <v>0</v>
      </c>
      <c r="J61" s="73">
        <v>1</v>
      </c>
      <c r="K61" s="73">
        <v>415</v>
      </c>
      <c r="L61" s="73">
        <v>0.53</v>
      </c>
      <c r="M61" s="73">
        <v>0.85</v>
      </c>
      <c r="N61" s="73">
        <v>0.95399999999999996</v>
      </c>
      <c r="O61" s="73"/>
      <c r="P61" s="73">
        <v>1.5</v>
      </c>
      <c r="Q61" s="73">
        <v>0.3</v>
      </c>
      <c r="R61" s="72">
        <f t="shared" si="43"/>
        <v>0</v>
      </c>
      <c r="S61" s="73">
        <v>0.2</v>
      </c>
      <c r="T61" s="72">
        <f t="shared" si="44"/>
        <v>0</v>
      </c>
      <c r="U61" s="72">
        <f t="shared" si="80"/>
        <v>0</v>
      </c>
      <c r="V61" s="72">
        <f t="shared" si="45"/>
        <v>0</v>
      </c>
      <c r="W61" s="72">
        <f t="shared" si="46"/>
        <v>0</v>
      </c>
      <c r="X61" s="72">
        <f t="shared" si="47"/>
        <v>0</v>
      </c>
      <c r="Y61" s="72">
        <f t="shared" si="48"/>
        <v>0</v>
      </c>
      <c r="Z61" s="72" t="str">
        <f t="shared" si="49"/>
        <v>PASS</v>
      </c>
      <c r="AA61" s="72">
        <f t="shared" si="50"/>
        <v>0</v>
      </c>
      <c r="AB61" s="72">
        <f t="shared" si="51"/>
        <v>0.95393920141694566</v>
      </c>
      <c r="AC61" s="72">
        <f t="shared" si="52"/>
        <v>0</v>
      </c>
      <c r="AD61" s="72">
        <f t="shared" si="53"/>
        <v>0</v>
      </c>
      <c r="AE61" s="72">
        <f t="shared" si="54"/>
        <v>0</v>
      </c>
      <c r="AF61" s="72" t="str">
        <f>IF(OR(AE61="",AD61=""),"",IF(AE61&lt;='OS-DORAEN'!$B$6,"PASS","FAIL"))</f>
        <v>PASS</v>
      </c>
      <c r="AG61" s="72">
        <f t="shared" si="55"/>
        <v>0.52678268764263703</v>
      </c>
      <c r="AH61" s="72">
        <f t="shared" si="56"/>
        <v>0</v>
      </c>
      <c r="AI61" s="72">
        <f t="shared" si="57"/>
        <v>0</v>
      </c>
      <c r="AJ61" s="72">
        <f t="shared" si="58"/>
        <v>0</v>
      </c>
      <c r="AK61" s="72" t="str">
        <f>IF(OR(AJ61="",AI61=""),"",IF(AJ61&lt;='OS-DORAEN'!$B$5,"PASS","FAIL"))</f>
        <v>PASS</v>
      </c>
      <c r="AL61" s="72" t="str">
        <f t="shared" si="59"/>
        <v/>
      </c>
      <c r="AM61" s="72" t="str">
        <f t="shared" si="60"/>
        <v/>
      </c>
      <c r="AN61" s="72" t="str">
        <f t="shared" si="61"/>
        <v/>
      </c>
      <c r="AO61" s="72" t="str">
        <f t="shared" si="62"/>
        <v>PASS</v>
      </c>
      <c r="AP61" s="72" t="str">
        <f t="shared" si="63"/>
        <v/>
      </c>
      <c r="AQ61" s="72" t="str">
        <f t="shared" si="64"/>
        <v/>
      </c>
      <c r="AR61" s="72" t="str">
        <f t="shared" si="81"/>
        <v/>
      </c>
      <c r="AS61" s="72">
        <f t="shared" si="65"/>
        <v>0</v>
      </c>
      <c r="AT61" s="72">
        <f>IF(AS61="","",IF(AS61&lt;=Lists!$J$2,Lists!$J$2,IFERROR(INDEX(Lists!$J$2:$J$28,IF(INDEX(Lists!$J$2:$J$28,MATCH(AS61,Lists!$J$2:$J$28,1))=AS61,MATCH(AS61,Lists!$J$2:$J$28,1),MATCH(AS61,Lists!$J$2:$J$28,1)+1)),"NO STANDARD CB")))</f>
        <v>16</v>
      </c>
      <c r="AU61" s="72" t="str">
        <f t="shared" si="66"/>
        <v>Manufacturer-specific adjustable trip unit</v>
      </c>
      <c r="AV61" s="72">
        <f t="shared" si="67"/>
        <v>0</v>
      </c>
      <c r="AW61" s="72" t="str">
        <f t="shared" si="68"/>
        <v>Verify manufacturer instantaneous/magnetic pickup</v>
      </c>
      <c r="AX61" s="72" t="str">
        <f t="shared" si="69"/>
        <v>VERIFY MANUFACTURER</v>
      </c>
      <c r="AY61" s="72" t="str">
        <f t="shared" si="70"/>
        <v>PASS</v>
      </c>
      <c r="AZ61" s="72" t="str">
        <f t="shared" si="71"/>
        <v>16 A MCCB; target Ir 0.0 A; manufacturer trip-unit verification required</v>
      </c>
      <c r="BA61" s="73"/>
      <c r="BB61" s="72" t="str">
        <f t="shared" si="72"/>
        <v>ENTER CB Icu/Ics</v>
      </c>
      <c r="BC61" s="72" t="str">
        <f t="shared" si="73"/>
        <v>Enter manufacturer CB Icu/Ics. Required ≥ 0.00 kA</v>
      </c>
      <c r="BD61" s="72" t="str">
        <f>IF(OR(AS61="",AT61="",AV61=""),"",IF(AND(AT61&gt;=AS61,COUNTIF(Lists!$J$2:$J$28,AT61)&gt;0,AV61&gt;=AS61,AV61&lt;=AT61),"PASS","FAIL - REVIEW MCCB FRAME/TRIP UNIT"))</f>
        <v>PASS</v>
      </c>
      <c r="BE61" s="86"/>
      <c r="BF61" s="86" t="str">
        <f t="shared" si="74"/>
        <v>XLPE</v>
      </c>
      <c r="BG61" s="86" t="str">
        <f t="shared" si="75"/>
        <v>3C</v>
      </c>
      <c r="BH61" s="86" t="str">
        <f t="shared" si="76"/>
        <v>Al</v>
      </c>
      <c r="BI61" s="86" t="str">
        <f t="shared" si="77"/>
        <v>XLPE</v>
      </c>
      <c r="BJ61" s="86" t="str">
        <f t="shared" si="78"/>
        <v>Armoured</v>
      </c>
      <c r="BK61" s="86" t="str">
        <f t="shared" si="79"/>
        <v/>
      </c>
      <c r="BL61" s="86">
        <f>IFERROR(SUMIFS('Cable Data Master'!$K:$K,'Cable Data Master'!$A:$A,$BF61,'Cable Data Master'!$B:$B,$BG61,'Cable Data Master'!$C:$C,$BH61,'Cable Data Master'!$D:$D,$BI61,'Cable Data Master'!$E:$E,$BJ61,'Cable Data Master'!$F:$F,$BK61),"")</f>
        <v>0</v>
      </c>
      <c r="BM61" s="86">
        <f>IFERROR(SUMIFS('Cable Data Master'!$L:$L,'Cable Data Master'!$A:$A,$BF61,'Cable Data Master'!$B:$B,$BG61,'Cable Data Master'!$C:$C,$BH61,'Cable Data Master'!$D:$D,$BI61,'Cable Data Master'!$E:$E,$BJ61,'Cable Data Master'!$F:$F,$BK61),"")</f>
        <v>0</v>
      </c>
      <c r="BN61" s="86">
        <f>IFERROR(SUMIFS('Cable Data Master'!$G:$G,'Cable Data Master'!$A:$A,$BF61,'Cable Data Master'!$B:$B,$BG61,'Cable Data Master'!$C:$C,$BH61,'Cable Data Master'!$D:$D,$BI61,'Cable Data Master'!$E:$E,$BJ61,'Cable Data Master'!$F:$F,$BK61),"")</f>
        <v>0</v>
      </c>
      <c r="BO61" s="86">
        <f>IFERROR(SUMIFS('Cable Data Master'!$H:$H,'Cable Data Master'!$A:$A,$BF61,'Cable Data Master'!$B:$B,$BG61,'Cable Data Master'!$C:$C,$BH61,'Cable Data Master'!$D:$D,$BI61,'Cable Data Master'!$E:$E,$BJ61,'Cable Data Master'!$F:$F,$BK61),"")</f>
        <v>0</v>
      </c>
      <c r="BP61" s="86">
        <f>IFERROR(SUMIFS('Cable Data Master'!$I:$I,'Cable Data Master'!$A:$A,$BF61,'Cable Data Master'!$B:$B,$BG61,'Cable Data Master'!$C:$C,$BH61,'Cable Data Master'!$D:$D,$BI61,'Cable Data Master'!$E:$E,$BJ61,'Cable Data Master'!$F:$F,$BK61),"")</f>
        <v>0</v>
      </c>
      <c r="BQ61" s="86">
        <f>IFERROR(SUMIFS('Cable Data Master'!$J:$J,'Cable Data Master'!$A:$A,$BF61,'Cable Data Master'!$B:$B,$BG61,'Cable Data Master'!$C:$C,$BH61,'Cable Data Master'!$D:$D,$BI61,'Cable Data Master'!$E:$E,$BJ61,'Cable Data Master'!$F:$F,$BK61),"")</f>
        <v>0</v>
      </c>
      <c r="BR61" s="86"/>
    </row>
    <row r="62" spans="1:70" s="87" customFormat="1" ht="30" customHeight="1" x14ac:dyDescent="0.35">
      <c r="A62" s="72">
        <v>59</v>
      </c>
      <c r="B62" s="73"/>
      <c r="C62" s="73"/>
      <c r="D62" s="74">
        <v>4.5</v>
      </c>
      <c r="E62" s="74"/>
      <c r="F62" s="74" t="s">
        <v>132</v>
      </c>
      <c r="G62" s="72" t="str">
        <f>IF(OR(C62="",D62="",E62="",H62="",J62="",K62="",L62="",M62="",N62="",O62="",P62="",Q62="",R62="",S62=""),"",IFERROR(LOOKUP(2,1/(('AUTO ENGINE'!$A$2:$A$1201=ROW())*('AUTO ENGINE'!$M$2:$M$1201=1)),'AUTO ENGINE'!$B$2:$B$1201),"NO CABLE PASSES"))</f>
        <v/>
      </c>
      <c r="H62" s="73" t="s">
        <v>133</v>
      </c>
      <c r="I62" s="72">
        <f t="shared" si="42"/>
        <v>0</v>
      </c>
      <c r="J62" s="73">
        <v>1</v>
      </c>
      <c r="K62" s="73">
        <v>415</v>
      </c>
      <c r="L62" s="73">
        <v>0.53</v>
      </c>
      <c r="M62" s="73">
        <v>0.85</v>
      </c>
      <c r="N62" s="73">
        <v>0.95399999999999996</v>
      </c>
      <c r="O62" s="73"/>
      <c r="P62" s="73">
        <v>1.5</v>
      </c>
      <c r="Q62" s="73">
        <v>0.3</v>
      </c>
      <c r="R62" s="72">
        <f t="shared" si="43"/>
        <v>0</v>
      </c>
      <c r="S62" s="73">
        <v>0.2</v>
      </c>
      <c r="T62" s="72">
        <f t="shared" si="44"/>
        <v>0</v>
      </c>
      <c r="U62" s="72">
        <f t="shared" si="80"/>
        <v>0</v>
      </c>
      <c r="V62" s="72">
        <f t="shared" si="45"/>
        <v>0</v>
      </c>
      <c r="W62" s="72">
        <f t="shared" si="46"/>
        <v>0</v>
      </c>
      <c r="X62" s="72">
        <f t="shared" si="47"/>
        <v>0</v>
      </c>
      <c r="Y62" s="72">
        <f t="shared" si="48"/>
        <v>0</v>
      </c>
      <c r="Z62" s="72" t="str">
        <f t="shared" si="49"/>
        <v>PASS</v>
      </c>
      <c r="AA62" s="72">
        <f t="shared" si="50"/>
        <v>0</v>
      </c>
      <c r="AB62" s="72">
        <f t="shared" si="51"/>
        <v>0.95393920141694566</v>
      </c>
      <c r="AC62" s="72">
        <f t="shared" si="52"/>
        <v>0</v>
      </c>
      <c r="AD62" s="72">
        <f t="shared" si="53"/>
        <v>0</v>
      </c>
      <c r="AE62" s="72">
        <f t="shared" si="54"/>
        <v>0</v>
      </c>
      <c r="AF62" s="72" t="str">
        <f>IF(OR(AE62="",AD62=""),"",IF(AE62&lt;='OS-DORAEN'!$B$6,"PASS","FAIL"))</f>
        <v>PASS</v>
      </c>
      <c r="AG62" s="72">
        <f t="shared" si="55"/>
        <v>0.52678268764263703</v>
      </c>
      <c r="AH62" s="72">
        <f t="shared" si="56"/>
        <v>0</v>
      </c>
      <c r="AI62" s="72">
        <f t="shared" si="57"/>
        <v>0</v>
      </c>
      <c r="AJ62" s="72">
        <f t="shared" si="58"/>
        <v>0</v>
      </c>
      <c r="AK62" s="72" t="str">
        <f>IF(OR(AJ62="",AI62=""),"",IF(AJ62&lt;='OS-DORAEN'!$B$5,"PASS","FAIL"))</f>
        <v>PASS</v>
      </c>
      <c r="AL62" s="72" t="str">
        <f t="shared" si="59"/>
        <v/>
      </c>
      <c r="AM62" s="72" t="str">
        <f t="shared" si="60"/>
        <v/>
      </c>
      <c r="AN62" s="72" t="str">
        <f t="shared" si="61"/>
        <v/>
      </c>
      <c r="AO62" s="72" t="str">
        <f t="shared" si="62"/>
        <v>PASS</v>
      </c>
      <c r="AP62" s="72" t="str">
        <f t="shared" si="63"/>
        <v/>
      </c>
      <c r="AQ62" s="72" t="str">
        <f t="shared" si="64"/>
        <v/>
      </c>
      <c r="AR62" s="72" t="str">
        <f t="shared" si="81"/>
        <v/>
      </c>
      <c r="AS62" s="72">
        <f t="shared" si="65"/>
        <v>0</v>
      </c>
      <c r="AT62" s="72">
        <f>IF(AS62="","",IF(AS62&lt;=Lists!$J$2,Lists!$J$2,IFERROR(INDEX(Lists!$J$2:$J$28,IF(INDEX(Lists!$J$2:$J$28,MATCH(AS62,Lists!$J$2:$J$28,1))=AS62,MATCH(AS62,Lists!$J$2:$J$28,1),MATCH(AS62,Lists!$J$2:$J$28,1)+1)),"NO STANDARD CB")))</f>
        <v>16</v>
      </c>
      <c r="AU62" s="72" t="str">
        <f t="shared" si="66"/>
        <v>Manufacturer-specific adjustable trip unit</v>
      </c>
      <c r="AV62" s="72">
        <f t="shared" si="67"/>
        <v>0</v>
      </c>
      <c r="AW62" s="72" t="str">
        <f t="shared" si="68"/>
        <v>Verify manufacturer instantaneous/magnetic pickup</v>
      </c>
      <c r="AX62" s="72" t="str">
        <f t="shared" si="69"/>
        <v>VERIFY MANUFACTURER</v>
      </c>
      <c r="AY62" s="72" t="str">
        <f t="shared" si="70"/>
        <v>PASS</v>
      </c>
      <c r="AZ62" s="72" t="str">
        <f t="shared" si="71"/>
        <v>16 A MCCB; target Ir 0.0 A; manufacturer trip-unit verification required</v>
      </c>
      <c r="BA62" s="73"/>
      <c r="BB62" s="72" t="str">
        <f t="shared" si="72"/>
        <v>ENTER CB Icu/Ics</v>
      </c>
      <c r="BC62" s="72" t="str">
        <f t="shared" si="73"/>
        <v>Enter manufacturer CB Icu/Ics. Required ≥ 0.00 kA</v>
      </c>
      <c r="BD62" s="72" t="str">
        <f>IF(OR(AS62="",AT62="",AV62=""),"",IF(AND(AT62&gt;=AS62,COUNTIF(Lists!$J$2:$J$28,AT62)&gt;0,AV62&gt;=AS62,AV62&lt;=AT62),"PASS","FAIL - REVIEW MCCB FRAME/TRIP UNIT"))</f>
        <v>PASS</v>
      </c>
      <c r="BE62" s="86"/>
      <c r="BF62" s="86" t="str">
        <f t="shared" si="74"/>
        <v>XLPE</v>
      </c>
      <c r="BG62" s="86" t="str">
        <f t="shared" si="75"/>
        <v>3C</v>
      </c>
      <c r="BH62" s="86" t="str">
        <f t="shared" si="76"/>
        <v>Al</v>
      </c>
      <c r="BI62" s="86" t="str">
        <f t="shared" si="77"/>
        <v>XLPE</v>
      </c>
      <c r="BJ62" s="86" t="str">
        <f t="shared" si="78"/>
        <v>Armoured</v>
      </c>
      <c r="BK62" s="86" t="str">
        <f t="shared" si="79"/>
        <v/>
      </c>
      <c r="BL62" s="86">
        <f>IFERROR(SUMIFS('Cable Data Master'!$K:$K,'Cable Data Master'!$A:$A,$BF62,'Cable Data Master'!$B:$B,$BG62,'Cable Data Master'!$C:$C,$BH62,'Cable Data Master'!$D:$D,$BI62,'Cable Data Master'!$E:$E,$BJ62,'Cable Data Master'!$F:$F,$BK62),"")</f>
        <v>0</v>
      </c>
      <c r="BM62" s="86">
        <f>IFERROR(SUMIFS('Cable Data Master'!$L:$L,'Cable Data Master'!$A:$A,$BF62,'Cable Data Master'!$B:$B,$BG62,'Cable Data Master'!$C:$C,$BH62,'Cable Data Master'!$D:$D,$BI62,'Cable Data Master'!$E:$E,$BJ62,'Cable Data Master'!$F:$F,$BK62),"")</f>
        <v>0</v>
      </c>
      <c r="BN62" s="86">
        <f>IFERROR(SUMIFS('Cable Data Master'!$G:$G,'Cable Data Master'!$A:$A,$BF62,'Cable Data Master'!$B:$B,$BG62,'Cable Data Master'!$C:$C,$BH62,'Cable Data Master'!$D:$D,$BI62,'Cable Data Master'!$E:$E,$BJ62,'Cable Data Master'!$F:$F,$BK62),"")</f>
        <v>0</v>
      </c>
      <c r="BO62" s="86">
        <f>IFERROR(SUMIFS('Cable Data Master'!$H:$H,'Cable Data Master'!$A:$A,$BF62,'Cable Data Master'!$B:$B,$BG62,'Cable Data Master'!$C:$C,$BH62,'Cable Data Master'!$D:$D,$BI62,'Cable Data Master'!$E:$E,$BJ62,'Cable Data Master'!$F:$F,$BK62),"")</f>
        <v>0</v>
      </c>
      <c r="BP62" s="86">
        <f>IFERROR(SUMIFS('Cable Data Master'!$I:$I,'Cable Data Master'!$A:$A,$BF62,'Cable Data Master'!$B:$B,$BG62,'Cable Data Master'!$C:$C,$BH62,'Cable Data Master'!$D:$D,$BI62,'Cable Data Master'!$E:$E,$BJ62,'Cable Data Master'!$F:$F,$BK62),"")</f>
        <v>0</v>
      </c>
      <c r="BQ62" s="86">
        <f>IFERROR(SUMIFS('Cable Data Master'!$J:$J,'Cable Data Master'!$A:$A,$BF62,'Cable Data Master'!$B:$B,$BG62,'Cable Data Master'!$C:$C,$BH62,'Cable Data Master'!$D:$D,$BI62,'Cable Data Master'!$E:$E,$BJ62,'Cable Data Master'!$F:$F,$BK62),"")</f>
        <v>0</v>
      </c>
      <c r="BR62" s="86"/>
    </row>
    <row r="63" spans="1:70" s="87" customFormat="1" ht="30" customHeight="1" x14ac:dyDescent="0.35">
      <c r="A63" s="72">
        <v>60</v>
      </c>
      <c r="B63" s="73"/>
      <c r="C63" s="73"/>
      <c r="D63" s="74">
        <v>4.5</v>
      </c>
      <c r="E63" s="74"/>
      <c r="F63" s="74" t="s">
        <v>132</v>
      </c>
      <c r="G63" s="72" t="str">
        <f>IF(OR(C63="",D63="",E63="",H63="",J63="",K63="",L63="",M63="",N63="",O63="",P63="",Q63="",R63="",S63=""),"",IFERROR(LOOKUP(2,1/(('AUTO ENGINE'!$A$2:$A$1201=ROW())*('AUTO ENGINE'!$M$2:$M$1201=1)),'AUTO ENGINE'!$B$2:$B$1201),"NO CABLE PASSES"))</f>
        <v/>
      </c>
      <c r="H63" s="73" t="s">
        <v>133</v>
      </c>
      <c r="I63" s="72">
        <f t="shared" si="42"/>
        <v>0</v>
      </c>
      <c r="J63" s="73">
        <v>1</v>
      </c>
      <c r="K63" s="73">
        <v>415</v>
      </c>
      <c r="L63" s="73">
        <v>0.53</v>
      </c>
      <c r="M63" s="73">
        <v>0.85</v>
      </c>
      <c r="N63" s="73">
        <v>0.95399999999999996</v>
      </c>
      <c r="O63" s="73"/>
      <c r="P63" s="73">
        <v>1.5</v>
      </c>
      <c r="Q63" s="73">
        <v>0.3</v>
      </c>
      <c r="R63" s="72">
        <f t="shared" si="43"/>
        <v>0</v>
      </c>
      <c r="S63" s="73">
        <v>0.2</v>
      </c>
      <c r="T63" s="72">
        <f t="shared" si="44"/>
        <v>0</v>
      </c>
      <c r="U63" s="72">
        <f t="shared" si="80"/>
        <v>0</v>
      </c>
      <c r="V63" s="72">
        <f t="shared" si="45"/>
        <v>0</v>
      </c>
      <c r="W63" s="72">
        <f t="shared" si="46"/>
        <v>0</v>
      </c>
      <c r="X63" s="72">
        <f t="shared" si="47"/>
        <v>0</v>
      </c>
      <c r="Y63" s="72">
        <f t="shared" si="48"/>
        <v>0</v>
      </c>
      <c r="Z63" s="72" t="str">
        <f t="shared" si="49"/>
        <v>PASS</v>
      </c>
      <c r="AA63" s="72">
        <f t="shared" si="50"/>
        <v>0</v>
      </c>
      <c r="AB63" s="72">
        <f t="shared" si="51"/>
        <v>0.95393920141694566</v>
      </c>
      <c r="AC63" s="72">
        <f t="shared" si="52"/>
        <v>0</v>
      </c>
      <c r="AD63" s="72">
        <f t="shared" si="53"/>
        <v>0</v>
      </c>
      <c r="AE63" s="72">
        <f t="shared" si="54"/>
        <v>0</v>
      </c>
      <c r="AF63" s="72" t="str">
        <f>IF(OR(AE63="",AD63=""),"",IF(AE63&lt;='OS-DORAEN'!$B$6,"PASS","FAIL"))</f>
        <v>PASS</v>
      </c>
      <c r="AG63" s="72">
        <f t="shared" si="55"/>
        <v>0.52678268764263703</v>
      </c>
      <c r="AH63" s="72">
        <f t="shared" si="56"/>
        <v>0</v>
      </c>
      <c r="AI63" s="72">
        <f t="shared" si="57"/>
        <v>0</v>
      </c>
      <c r="AJ63" s="72">
        <f t="shared" si="58"/>
        <v>0</v>
      </c>
      <c r="AK63" s="72" t="str">
        <f>IF(OR(AJ63="",AI63=""),"",IF(AJ63&lt;='OS-DORAEN'!$B$5,"PASS","FAIL"))</f>
        <v>PASS</v>
      </c>
      <c r="AL63" s="72" t="str">
        <f t="shared" si="59"/>
        <v/>
      </c>
      <c r="AM63" s="72" t="str">
        <f t="shared" si="60"/>
        <v/>
      </c>
      <c r="AN63" s="72" t="str">
        <f t="shared" si="61"/>
        <v/>
      </c>
      <c r="AO63" s="72" t="str">
        <f t="shared" si="62"/>
        <v>PASS</v>
      </c>
      <c r="AP63" s="72" t="str">
        <f t="shared" si="63"/>
        <v/>
      </c>
      <c r="AQ63" s="72" t="str">
        <f t="shared" si="64"/>
        <v/>
      </c>
      <c r="AR63" s="72" t="str">
        <f t="shared" si="81"/>
        <v/>
      </c>
      <c r="AS63" s="72">
        <f t="shared" si="65"/>
        <v>0</v>
      </c>
      <c r="AT63" s="72">
        <f>IF(AS63="","",IF(AS63&lt;=Lists!$J$2,Lists!$J$2,IFERROR(INDEX(Lists!$J$2:$J$28,IF(INDEX(Lists!$J$2:$J$28,MATCH(AS63,Lists!$J$2:$J$28,1))=AS63,MATCH(AS63,Lists!$J$2:$J$28,1),MATCH(AS63,Lists!$J$2:$J$28,1)+1)),"NO STANDARD CB")))</f>
        <v>16</v>
      </c>
      <c r="AU63" s="72" t="str">
        <f t="shared" si="66"/>
        <v>Manufacturer-specific adjustable trip unit</v>
      </c>
      <c r="AV63" s="72">
        <f t="shared" si="67"/>
        <v>0</v>
      </c>
      <c r="AW63" s="72" t="str">
        <f t="shared" si="68"/>
        <v>Verify manufacturer instantaneous/magnetic pickup</v>
      </c>
      <c r="AX63" s="72" t="str">
        <f t="shared" si="69"/>
        <v>VERIFY MANUFACTURER</v>
      </c>
      <c r="AY63" s="72" t="str">
        <f t="shared" si="70"/>
        <v>PASS</v>
      </c>
      <c r="AZ63" s="72" t="str">
        <f t="shared" si="71"/>
        <v>16 A MCCB; target Ir 0.0 A; manufacturer trip-unit verification required</v>
      </c>
      <c r="BA63" s="73"/>
      <c r="BB63" s="72" t="str">
        <f t="shared" si="72"/>
        <v>ENTER CB Icu/Ics</v>
      </c>
      <c r="BC63" s="72" t="str">
        <f t="shared" si="73"/>
        <v>Enter manufacturer CB Icu/Ics. Required ≥ 0.00 kA</v>
      </c>
      <c r="BD63" s="72" t="str">
        <f>IF(OR(AS63="",AT63="",AV63=""),"",IF(AND(AT63&gt;=AS63,COUNTIF(Lists!$J$2:$J$28,AT63)&gt;0,AV63&gt;=AS63,AV63&lt;=AT63),"PASS","FAIL - REVIEW MCCB FRAME/TRIP UNIT"))</f>
        <v>PASS</v>
      </c>
      <c r="BE63" s="86"/>
      <c r="BF63" s="86" t="str">
        <f t="shared" si="74"/>
        <v>XLPE</v>
      </c>
      <c r="BG63" s="86" t="str">
        <f t="shared" si="75"/>
        <v>3C</v>
      </c>
      <c r="BH63" s="86" t="str">
        <f t="shared" si="76"/>
        <v>Al</v>
      </c>
      <c r="BI63" s="86" t="str">
        <f t="shared" si="77"/>
        <v>XLPE</v>
      </c>
      <c r="BJ63" s="86" t="str">
        <f t="shared" si="78"/>
        <v>Armoured</v>
      </c>
      <c r="BK63" s="86" t="str">
        <f t="shared" si="79"/>
        <v/>
      </c>
      <c r="BL63" s="86">
        <f>IFERROR(SUMIFS('Cable Data Master'!$K:$K,'Cable Data Master'!$A:$A,$BF63,'Cable Data Master'!$B:$B,$BG63,'Cable Data Master'!$C:$C,$BH63,'Cable Data Master'!$D:$D,$BI63,'Cable Data Master'!$E:$E,$BJ63,'Cable Data Master'!$F:$F,$BK63),"")</f>
        <v>0</v>
      </c>
      <c r="BM63" s="86">
        <f>IFERROR(SUMIFS('Cable Data Master'!$L:$L,'Cable Data Master'!$A:$A,$BF63,'Cable Data Master'!$B:$B,$BG63,'Cable Data Master'!$C:$C,$BH63,'Cable Data Master'!$D:$D,$BI63,'Cable Data Master'!$E:$E,$BJ63,'Cable Data Master'!$F:$F,$BK63),"")</f>
        <v>0</v>
      </c>
      <c r="BN63" s="86">
        <f>IFERROR(SUMIFS('Cable Data Master'!$G:$G,'Cable Data Master'!$A:$A,$BF63,'Cable Data Master'!$B:$B,$BG63,'Cable Data Master'!$C:$C,$BH63,'Cable Data Master'!$D:$D,$BI63,'Cable Data Master'!$E:$E,$BJ63,'Cable Data Master'!$F:$F,$BK63),"")</f>
        <v>0</v>
      </c>
      <c r="BO63" s="86">
        <f>IFERROR(SUMIFS('Cable Data Master'!$H:$H,'Cable Data Master'!$A:$A,$BF63,'Cable Data Master'!$B:$B,$BG63,'Cable Data Master'!$C:$C,$BH63,'Cable Data Master'!$D:$D,$BI63,'Cable Data Master'!$E:$E,$BJ63,'Cable Data Master'!$F:$F,$BK63),"")</f>
        <v>0</v>
      </c>
      <c r="BP63" s="86">
        <f>IFERROR(SUMIFS('Cable Data Master'!$I:$I,'Cable Data Master'!$A:$A,$BF63,'Cable Data Master'!$B:$B,$BG63,'Cable Data Master'!$C:$C,$BH63,'Cable Data Master'!$D:$D,$BI63,'Cable Data Master'!$E:$E,$BJ63,'Cable Data Master'!$F:$F,$BK63),"")</f>
        <v>0</v>
      </c>
      <c r="BQ63" s="86">
        <f>IFERROR(SUMIFS('Cable Data Master'!$J:$J,'Cable Data Master'!$A:$A,$BF63,'Cable Data Master'!$B:$B,$BG63,'Cable Data Master'!$C:$C,$BH63,'Cable Data Master'!$D:$D,$BI63,'Cable Data Master'!$E:$E,$BJ63,'Cable Data Master'!$F:$F,$BK63),"")</f>
        <v>0</v>
      </c>
      <c r="BR63" s="86"/>
    </row>
    <row r="64" spans="1:70" s="87" customFormat="1" ht="30" customHeight="1" x14ac:dyDescent="0.35">
      <c r="A64" s="72">
        <v>61</v>
      </c>
      <c r="B64" s="73"/>
      <c r="C64" s="73"/>
      <c r="D64" s="74">
        <v>4.5</v>
      </c>
      <c r="E64" s="74"/>
      <c r="F64" s="74" t="s">
        <v>132</v>
      </c>
      <c r="G64" s="72" t="str">
        <f>IF(OR(C64="",D64="",E64="",H64="",J64="",K64="",L64="",M64="",N64="",O64="",P64="",Q64="",R64="",S64=""),"",IFERROR(LOOKUP(2,1/(('AUTO ENGINE'!$A$2:$A$1201=ROW())*('AUTO ENGINE'!$M$2:$M$1201=1)),'AUTO ENGINE'!$B$2:$B$1201),"NO CABLE PASSES"))</f>
        <v/>
      </c>
      <c r="H64" s="73" t="s">
        <v>133</v>
      </c>
      <c r="I64" s="72">
        <f t="shared" si="42"/>
        <v>0</v>
      </c>
      <c r="J64" s="73">
        <v>1</v>
      </c>
      <c r="K64" s="73">
        <v>415</v>
      </c>
      <c r="L64" s="73">
        <v>0.53</v>
      </c>
      <c r="M64" s="73">
        <v>0.85</v>
      </c>
      <c r="N64" s="73">
        <v>0.95399999999999996</v>
      </c>
      <c r="O64" s="73"/>
      <c r="P64" s="73">
        <v>1.5</v>
      </c>
      <c r="Q64" s="73">
        <v>0.3</v>
      </c>
      <c r="R64" s="72">
        <f t="shared" si="43"/>
        <v>0</v>
      </c>
      <c r="S64" s="73">
        <v>0.2</v>
      </c>
      <c r="T64" s="72">
        <f t="shared" si="44"/>
        <v>0</v>
      </c>
      <c r="U64" s="72">
        <f t="shared" si="80"/>
        <v>0</v>
      </c>
      <c r="V64" s="72">
        <f t="shared" si="45"/>
        <v>0</v>
      </c>
      <c r="W64" s="72">
        <f t="shared" si="46"/>
        <v>0</v>
      </c>
      <c r="X64" s="72">
        <f t="shared" si="47"/>
        <v>0</v>
      </c>
      <c r="Y64" s="72">
        <f t="shared" si="48"/>
        <v>0</v>
      </c>
      <c r="Z64" s="72" t="str">
        <f t="shared" si="49"/>
        <v>PASS</v>
      </c>
      <c r="AA64" s="72">
        <f t="shared" si="50"/>
        <v>0</v>
      </c>
      <c r="AB64" s="72">
        <f t="shared" si="51"/>
        <v>0.95393920141694566</v>
      </c>
      <c r="AC64" s="72">
        <f t="shared" si="52"/>
        <v>0</v>
      </c>
      <c r="AD64" s="72">
        <f t="shared" si="53"/>
        <v>0</v>
      </c>
      <c r="AE64" s="72">
        <f t="shared" si="54"/>
        <v>0</v>
      </c>
      <c r="AF64" s="72" t="str">
        <f>IF(OR(AE64="",AD64=""),"",IF(AE64&lt;='OS-DORAEN'!$B$6,"PASS","FAIL"))</f>
        <v>PASS</v>
      </c>
      <c r="AG64" s="72">
        <f t="shared" si="55"/>
        <v>0.52678268764263703</v>
      </c>
      <c r="AH64" s="72">
        <f t="shared" si="56"/>
        <v>0</v>
      </c>
      <c r="AI64" s="72">
        <f t="shared" si="57"/>
        <v>0</v>
      </c>
      <c r="AJ64" s="72">
        <f t="shared" si="58"/>
        <v>0</v>
      </c>
      <c r="AK64" s="72" t="str">
        <f>IF(OR(AJ64="",AI64=""),"",IF(AJ64&lt;='OS-DORAEN'!$B$5,"PASS","FAIL"))</f>
        <v>PASS</v>
      </c>
      <c r="AL64" s="72" t="str">
        <f t="shared" si="59"/>
        <v/>
      </c>
      <c r="AM64" s="72" t="str">
        <f t="shared" si="60"/>
        <v/>
      </c>
      <c r="AN64" s="72" t="str">
        <f t="shared" si="61"/>
        <v/>
      </c>
      <c r="AO64" s="72" t="str">
        <f t="shared" si="62"/>
        <v>PASS</v>
      </c>
      <c r="AP64" s="72" t="str">
        <f t="shared" si="63"/>
        <v/>
      </c>
      <c r="AQ64" s="72" t="str">
        <f t="shared" si="64"/>
        <v/>
      </c>
      <c r="AR64" s="72" t="str">
        <f t="shared" si="81"/>
        <v/>
      </c>
      <c r="AS64" s="72">
        <f t="shared" si="65"/>
        <v>0</v>
      </c>
      <c r="AT64" s="72">
        <f>IF(AS64="","",IF(AS64&lt;=Lists!$J$2,Lists!$J$2,IFERROR(INDEX(Lists!$J$2:$J$28,IF(INDEX(Lists!$J$2:$J$28,MATCH(AS64,Lists!$J$2:$J$28,1))=AS64,MATCH(AS64,Lists!$J$2:$J$28,1),MATCH(AS64,Lists!$J$2:$J$28,1)+1)),"NO STANDARD CB")))</f>
        <v>16</v>
      </c>
      <c r="AU64" s="72" t="str">
        <f t="shared" si="66"/>
        <v>Manufacturer-specific adjustable trip unit</v>
      </c>
      <c r="AV64" s="72">
        <f t="shared" si="67"/>
        <v>0</v>
      </c>
      <c r="AW64" s="72" t="str">
        <f t="shared" si="68"/>
        <v>Verify manufacturer instantaneous/magnetic pickup</v>
      </c>
      <c r="AX64" s="72" t="str">
        <f t="shared" si="69"/>
        <v>VERIFY MANUFACTURER</v>
      </c>
      <c r="AY64" s="72" t="str">
        <f t="shared" si="70"/>
        <v>PASS</v>
      </c>
      <c r="AZ64" s="72" t="str">
        <f t="shared" si="71"/>
        <v>16 A MCCB; target Ir 0.0 A; manufacturer trip-unit verification required</v>
      </c>
      <c r="BA64" s="73"/>
      <c r="BB64" s="72" t="str">
        <f t="shared" si="72"/>
        <v>ENTER CB Icu/Ics</v>
      </c>
      <c r="BC64" s="72" t="str">
        <f t="shared" si="73"/>
        <v>Enter manufacturer CB Icu/Ics. Required ≥ 0.00 kA</v>
      </c>
      <c r="BD64" s="72" t="str">
        <f>IF(OR(AS64="",AT64="",AV64=""),"",IF(AND(AT64&gt;=AS64,COUNTIF(Lists!$J$2:$J$28,AT64)&gt;0,AV64&gt;=AS64,AV64&lt;=AT64),"PASS","FAIL - REVIEW MCCB FRAME/TRIP UNIT"))</f>
        <v>PASS</v>
      </c>
      <c r="BE64" s="86"/>
      <c r="BF64" s="86" t="str">
        <f t="shared" si="74"/>
        <v>XLPE</v>
      </c>
      <c r="BG64" s="86" t="str">
        <f t="shared" si="75"/>
        <v>3C</v>
      </c>
      <c r="BH64" s="86" t="str">
        <f t="shared" si="76"/>
        <v>Al</v>
      </c>
      <c r="BI64" s="86" t="str">
        <f t="shared" si="77"/>
        <v>XLPE</v>
      </c>
      <c r="BJ64" s="86" t="str">
        <f t="shared" si="78"/>
        <v>Armoured</v>
      </c>
      <c r="BK64" s="86" t="str">
        <f t="shared" si="79"/>
        <v/>
      </c>
      <c r="BL64" s="86">
        <f>IFERROR(SUMIFS('Cable Data Master'!$K:$K,'Cable Data Master'!$A:$A,$BF64,'Cable Data Master'!$B:$B,$BG64,'Cable Data Master'!$C:$C,$BH64,'Cable Data Master'!$D:$D,$BI64,'Cable Data Master'!$E:$E,$BJ64,'Cable Data Master'!$F:$F,$BK64),"")</f>
        <v>0</v>
      </c>
      <c r="BM64" s="86">
        <f>IFERROR(SUMIFS('Cable Data Master'!$L:$L,'Cable Data Master'!$A:$A,$BF64,'Cable Data Master'!$B:$B,$BG64,'Cable Data Master'!$C:$C,$BH64,'Cable Data Master'!$D:$D,$BI64,'Cable Data Master'!$E:$E,$BJ64,'Cable Data Master'!$F:$F,$BK64),"")</f>
        <v>0</v>
      </c>
      <c r="BN64" s="86">
        <f>IFERROR(SUMIFS('Cable Data Master'!$G:$G,'Cable Data Master'!$A:$A,$BF64,'Cable Data Master'!$B:$B,$BG64,'Cable Data Master'!$C:$C,$BH64,'Cable Data Master'!$D:$D,$BI64,'Cable Data Master'!$E:$E,$BJ64,'Cable Data Master'!$F:$F,$BK64),"")</f>
        <v>0</v>
      </c>
      <c r="BO64" s="86">
        <f>IFERROR(SUMIFS('Cable Data Master'!$H:$H,'Cable Data Master'!$A:$A,$BF64,'Cable Data Master'!$B:$B,$BG64,'Cable Data Master'!$C:$C,$BH64,'Cable Data Master'!$D:$D,$BI64,'Cable Data Master'!$E:$E,$BJ64,'Cable Data Master'!$F:$F,$BK64),"")</f>
        <v>0</v>
      </c>
      <c r="BP64" s="86">
        <f>IFERROR(SUMIFS('Cable Data Master'!$I:$I,'Cable Data Master'!$A:$A,$BF64,'Cable Data Master'!$B:$B,$BG64,'Cable Data Master'!$C:$C,$BH64,'Cable Data Master'!$D:$D,$BI64,'Cable Data Master'!$E:$E,$BJ64,'Cable Data Master'!$F:$F,$BK64),"")</f>
        <v>0</v>
      </c>
      <c r="BQ64" s="86">
        <f>IFERROR(SUMIFS('Cable Data Master'!$J:$J,'Cable Data Master'!$A:$A,$BF64,'Cable Data Master'!$B:$B,$BG64,'Cable Data Master'!$C:$C,$BH64,'Cable Data Master'!$D:$D,$BI64,'Cable Data Master'!$E:$E,$BJ64,'Cable Data Master'!$F:$F,$BK64),"")</f>
        <v>0</v>
      </c>
      <c r="BR64" s="86"/>
    </row>
    <row r="65" spans="1:70" s="87" customFormat="1" ht="30" customHeight="1" x14ac:dyDescent="0.35">
      <c r="A65" s="72">
        <v>62</v>
      </c>
      <c r="B65" s="73"/>
      <c r="C65" s="73"/>
      <c r="D65" s="74">
        <v>4.5</v>
      </c>
      <c r="E65" s="74"/>
      <c r="F65" s="74" t="s">
        <v>132</v>
      </c>
      <c r="G65" s="72" t="str">
        <f>IF(OR(C65="",D65="",E65="",H65="",J65="",K65="",L65="",M65="",N65="",O65="",P65="",Q65="",R65="",S65=""),"",IFERROR(LOOKUP(2,1/(('AUTO ENGINE'!$A$2:$A$1201=ROW())*('AUTO ENGINE'!$M$2:$M$1201=1)),'AUTO ENGINE'!$B$2:$B$1201),"NO CABLE PASSES"))</f>
        <v/>
      </c>
      <c r="H65" s="73" t="s">
        <v>133</v>
      </c>
      <c r="I65" s="72">
        <f t="shared" si="42"/>
        <v>0</v>
      </c>
      <c r="J65" s="73">
        <v>1</v>
      </c>
      <c r="K65" s="73">
        <v>415</v>
      </c>
      <c r="L65" s="73">
        <v>0.53</v>
      </c>
      <c r="M65" s="73">
        <v>0.85</v>
      </c>
      <c r="N65" s="73">
        <v>0.95399999999999996</v>
      </c>
      <c r="O65" s="73"/>
      <c r="P65" s="73">
        <v>1.5</v>
      </c>
      <c r="Q65" s="73">
        <v>0.3</v>
      </c>
      <c r="R65" s="72">
        <f t="shared" si="43"/>
        <v>0</v>
      </c>
      <c r="S65" s="73">
        <v>0.2</v>
      </c>
      <c r="T65" s="72">
        <f t="shared" si="44"/>
        <v>0</v>
      </c>
      <c r="U65" s="72">
        <f t="shared" si="80"/>
        <v>0</v>
      </c>
      <c r="V65" s="72">
        <f t="shared" si="45"/>
        <v>0</v>
      </c>
      <c r="W65" s="72">
        <f t="shared" si="46"/>
        <v>0</v>
      </c>
      <c r="X65" s="72">
        <f t="shared" si="47"/>
        <v>0</v>
      </c>
      <c r="Y65" s="72">
        <f t="shared" si="48"/>
        <v>0</v>
      </c>
      <c r="Z65" s="72" t="str">
        <f t="shared" si="49"/>
        <v>PASS</v>
      </c>
      <c r="AA65" s="72">
        <f t="shared" si="50"/>
        <v>0</v>
      </c>
      <c r="AB65" s="72">
        <f t="shared" si="51"/>
        <v>0.95393920141694566</v>
      </c>
      <c r="AC65" s="72">
        <f t="shared" si="52"/>
        <v>0</v>
      </c>
      <c r="AD65" s="72">
        <f t="shared" si="53"/>
        <v>0</v>
      </c>
      <c r="AE65" s="72">
        <f t="shared" si="54"/>
        <v>0</v>
      </c>
      <c r="AF65" s="72" t="str">
        <f>IF(OR(AE65="",AD65=""),"",IF(AE65&lt;='OS-DORAEN'!$B$6,"PASS","FAIL"))</f>
        <v>PASS</v>
      </c>
      <c r="AG65" s="72">
        <f t="shared" si="55"/>
        <v>0.52678268764263703</v>
      </c>
      <c r="AH65" s="72">
        <f t="shared" si="56"/>
        <v>0</v>
      </c>
      <c r="AI65" s="72">
        <f t="shared" si="57"/>
        <v>0</v>
      </c>
      <c r="AJ65" s="72">
        <f t="shared" si="58"/>
        <v>0</v>
      </c>
      <c r="AK65" s="72" t="str">
        <f>IF(OR(AJ65="",AI65=""),"",IF(AJ65&lt;='OS-DORAEN'!$B$5,"PASS","FAIL"))</f>
        <v>PASS</v>
      </c>
      <c r="AL65" s="72" t="str">
        <f t="shared" si="59"/>
        <v/>
      </c>
      <c r="AM65" s="72" t="str">
        <f t="shared" si="60"/>
        <v/>
      </c>
      <c r="AN65" s="72" t="str">
        <f t="shared" si="61"/>
        <v/>
      </c>
      <c r="AO65" s="72" t="str">
        <f t="shared" si="62"/>
        <v>PASS</v>
      </c>
      <c r="AP65" s="72" t="str">
        <f t="shared" si="63"/>
        <v/>
      </c>
      <c r="AQ65" s="72" t="str">
        <f t="shared" si="64"/>
        <v/>
      </c>
      <c r="AR65" s="72" t="str">
        <f t="shared" si="81"/>
        <v/>
      </c>
      <c r="AS65" s="72">
        <f t="shared" si="65"/>
        <v>0</v>
      </c>
      <c r="AT65" s="72">
        <f>IF(AS65="","",IF(AS65&lt;=Lists!$J$2,Lists!$J$2,IFERROR(INDEX(Lists!$J$2:$J$28,IF(INDEX(Lists!$J$2:$J$28,MATCH(AS65,Lists!$J$2:$J$28,1))=AS65,MATCH(AS65,Lists!$J$2:$J$28,1),MATCH(AS65,Lists!$J$2:$J$28,1)+1)),"NO STANDARD CB")))</f>
        <v>16</v>
      </c>
      <c r="AU65" s="72" t="str">
        <f t="shared" si="66"/>
        <v>Manufacturer-specific adjustable trip unit</v>
      </c>
      <c r="AV65" s="72">
        <f t="shared" si="67"/>
        <v>0</v>
      </c>
      <c r="AW65" s="72" t="str">
        <f t="shared" si="68"/>
        <v>Verify manufacturer instantaneous/magnetic pickup</v>
      </c>
      <c r="AX65" s="72" t="str">
        <f t="shared" si="69"/>
        <v>VERIFY MANUFACTURER</v>
      </c>
      <c r="AY65" s="72" t="str">
        <f t="shared" si="70"/>
        <v>PASS</v>
      </c>
      <c r="AZ65" s="72" t="str">
        <f t="shared" si="71"/>
        <v>16 A MCCB; target Ir 0.0 A; manufacturer trip-unit verification required</v>
      </c>
      <c r="BA65" s="73"/>
      <c r="BB65" s="72" t="str">
        <f t="shared" si="72"/>
        <v>ENTER CB Icu/Ics</v>
      </c>
      <c r="BC65" s="72" t="str">
        <f t="shared" si="73"/>
        <v>Enter manufacturer CB Icu/Ics. Required ≥ 0.00 kA</v>
      </c>
      <c r="BD65" s="72" t="str">
        <f>IF(OR(AS65="",AT65="",AV65=""),"",IF(AND(AT65&gt;=AS65,COUNTIF(Lists!$J$2:$J$28,AT65)&gt;0,AV65&gt;=AS65,AV65&lt;=AT65),"PASS","FAIL - REVIEW MCCB FRAME/TRIP UNIT"))</f>
        <v>PASS</v>
      </c>
      <c r="BE65" s="86"/>
      <c r="BF65" s="86" t="str">
        <f t="shared" si="74"/>
        <v>XLPE</v>
      </c>
      <c r="BG65" s="86" t="str">
        <f t="shared" si="75"/>
        <v>3C</v>
      </c>
      <c r="BH65" s="86" t="str">
        <f t="shared" si="76"/>
        <v>Al</v>
      </c>
      <c r="BI65" s="86" t="str">
        <f t="shared" si="77"/>
        <v>XLPE</v>
      </c>
      <c r="BJ65" s="86" t="str">
        <f t="shared" si="78"/>
        <v>Armoured</v>
      </c>
      <c r="BK65" s="86" t="str">
        <f t="shared" si="79"/>
        <v/>
      </c>
      <c r="BL65" s="86">
        <f>IFERROR(SUMIFS('Cable Data Master'!$K:$K,'Cable Data Master'!$A:$A,$BF65,'Cable Data Master'!$B:$B,$BG65,'Cable Data Master'!$C:$C,$BH65,'Cable Data Master'!$D:$D,$BI65,'Cable Data Master'!$E:$E,$BJ65,'Cable Data Master'!$F:$F,$BK65),"")</f>
        <v>0</v>
      </c>
      <c r="BM65" s="86">
        <f>IFERROR(SUMIFS('Cable Data Master'!$L:$L,'Cable Data Master'!$A:$A,$BF65,'Cable Data Master'!$B:$B,$BG65,'Cable Data Master'!$C:$C,$BH65,'Cable Data Master'!$D:$D,$BI65,'Cable Data Master'!$E:$E,$BJ65,'Cable Data Master'!$F:$F,$BK65),"")</f>
        <v>0</v>
      </c>
      <c r="BN65" s="86">
        <f>IFERROR(SUMIFS('Cable Data Master'!$G:$G,'Cable Data Master'!$A:$A,$BF65,'Cable Data Master'!$B:$B,$BG65,'Cable Data Master'!$C:$C,$BH65,'Cable Data Master'!$D:$D,$BI65,'Cable Data Master'!$E:$E,$BJ65,'Cable Data Master'!$F:$F,$BK65),"")</f>
        <v>0</v>
      </c>
      <c r="BO65" s="86">
        <f>IFERROR(SUMIFS('Cable Data Master'!$H:$H,'Cable Data Master'!$A:$A,$BF65,'Cable Data Master'!$B:$B,$BG65,'Cable Data Master'!$C:$C,$BH65,'Cable Data Master'!$D:$D,$BI65,'Cable Data Master'!$E:$E,$BJ65,'Cable Data Master'!$F:$F,$BK65),"")</f>
        <v>0</v>
      </c>
      <c r="BP65" s="86">
        <f>IFERROR(SUMIFS('Cable Data Master'!$I:$I,'Cable Data Master'!$A:$A,$BF65,'Cable Data Master'!$B:$B,$BG65,'Cable Data Master'!$C:$C,$BH65,'Cable Data Master'!$D:$D,$BI65,'Cable Data Master'!$E:$E,$BJ65,'Cable Data Master'!$F:$F,$BK65),"")</f>
        <v>0</v>
      </c>
      <c r="BQ65" s="86">
        <f>IFERROR(SUMIFS('Cable Data Master'!$J:$J,'Cable Data Master'!$A:$A,$BF65,'Cable Data Master'!$B:$B,$BG65,'Cable Data Master'!$C:$C,$BH65,'Cable Data Master'!$D:$D,$BI65,'Cable Data Master'!$E:$E,$BJ65,'Cable Data Master'!$F:$F,$BK65),"")</f>
        <v>0</v>
      </c>
      <c r="BR65" s="86"/>
    </row>
    <row r="66" spans="1:70" s="87" customFormat="1" ht="30" customHeight="1" x14ac:dyDescent="0.35">
      <c r="A66" s="72">
        <v>63</v>
      </c>
      <c r="B66" s="73"/>
      <c r="C66" s="73"/>
      <c r="D66" s="74">
        <v>4.5</v>
      </c>
      <c r="E66" s="74"/>
      <c r="F66" s="74" t="s">
        <v>132</v>
      </c>
      <c r="G66" s="72" t="str">
        <f>IF(OR(C66="",D66="",E66="",H66="",J66="",K66="",L66="",M66="",N66="",O66="",P66="",Q66="",R66="",S66=""),"",IFERROR(LOOKUP(2,1/(('AUTO ENGINE'!$A$2:$A$1201=ROW())*('AUTO ENGINE'!$M$2:$M$1201=1)),'AUTO ENGINE'!$B$2:$B$1201),"NO CABLE PASSES"))</f>
        <v/>
      </c>
      <c r="H66" s="73" t="s">
        <v>133</v>
      </c>
      <c r="I66" s="72">
        <f t="shared" si="42"/>
        <v>0</v>
      </c>
      <c r="J66" s="73">
        <v>1</v>
      </c>
      <c r="K66" s="73">
        <v>415</v>
      </c>
      <c r="L66" s="73">
        <v>0.53</v>
      </c>
      <c r="M66" s="73">
        <v>0.85</v>
      </c>
      <c r="N66" s="73">
        <v>0.95399999999999996</v>
      </c>
      <c r="O66" s="73"/>
      <c r="P66" s="73">
        <v>1.5</v>
      </c>
      <c r="Q66" s="73">
        <v>0.3</v>
      </c>
      <c r="R66" s="72">
        <f t="shared" si="43"/>
        <v>0</v>
      </c>
      <c r="S66" s="73">
        <v>0.2</v>
      </c>
      <c r="T66" s="72">
        <f t="shared" si="44"/>
        <v>0</v>
      </c>
      <c r="U66" s="72">
        <f t="shared" si="80"/>
        <v>0</v>
      </c>
      <c r="V66" s="72">
        <f t="shared" si="45"/>
        <v>0</v>
      </c>
      <c r="W66" s="72">
        <f t="shared" si="46"/>
        <v>0</v>
      </c>
      <c r="X66" s="72">
        <f t="shared" si="47"/>
        <v>0</v>
      </c>
      <c r="Y66" s="72">
        <f t="shared" si="48"/>
        <v>0</v>
      </c>
      <c r="Z66" s="72" t="str">
        <f t="shared" si="49"/>
        <v>PASS</v>
      </c>
      <c r="AA66" s="72">
        <f t="shared" si="50"/>
        <v>0</v>
      </c>
      <c r="AB66" s="72">
        <f t="shared" si="51"/>
        <v>0.95393920141694566</v>
      </c>
      <c r="AC66" s="72">
        <f t="shared" si="52"/>
        <v>0</v>
      </c>
      <c r="AD66" s="72">
        <f t="shared" si="53"/>
        <v>0</v>
      </c>
      <c r="AE66" s="72">
        <f t="shared" si="54"/>
        <v>0</v>
      </c>
      <c r="AF66" s="72" t="str">
        <f>IF(OR(AE66="",AD66=""),"",IF(AE66&lt;='OS-DORAEN'!$B$6,"PASS","FAIL"))</f>
        <v>PASS</v>
      </c>
      <c r="AG66" s="72">
        <f t="shared" si="55"/>
        <v>0.52678268764263703</v>
      </c>
      <c r="AH66" s="72">
        <f t="shared" si="56"/>
        <v>0</v>
      </c>
      <c r="AI66" s="72">
        <f t="shared" si="57"/>
        <v>0</v>
      </c>
      <c r="AJ66" s="72">
        <f t="shared" si="58"/>
        <v>0</v>
      </c>
      <c r="AK66" s="72" t="str">
        <f>IF(OR(AJ66="",AI66=""),"",IF(AJ66&lt;='OS-DORAEN'!$B$5,"PASS","FAIL"))</f>
        <v>PASS</v>
      </c>
      <c r="AL66" s="72" t="str">
        <f t="shared" si="59"/>
        <v/>
      </c>
      <c r="AM66" s="72" t="str">
        <f t="shared" si="60"/>
        <v/>
      </c>
      <c r="AN66" s="72" t="str">
        <f t="shared" si="61"/>
        <v/>
      </c>
      <c r="AO66" s="72" t="str">
        <f t="shared" si="62"/>
        <v>PASS</v>
      </c>
      <c r="AP66" s="72" t="str">
        <f t="shared" si="63"/>
        <v/>
      </c>
      <c r="AQ66" s="72" t="str">
        <f t="shared" si="64"/>
        <v/>
      </c>
      <c r="AR66" s="72" t="str">
        <f t="shared" si="81"/>
        <v/>
      </c>
      <c r="AS66" s="72">
        <f t="shared" si="65"/>
        <v>0</v>
      </c>
      <c r="AT66" s="72">
        <f>IF(AS66="","",IF(AS66&lt;=Lists!$J$2,Lists!$J$2,IFERROR(INDEX(Lists!$J$2:$J$28,IF(INDEX(Lists!$J$2:$J$28,MATCH(AS66,Lists!$J$2:$J$28,1))=AS66,MATCH(AS66,Lists!$J$2:$J$28,1),MATCH(AS66,Lists!$J$2:$J$28,1)+1)),"NO STANDARD CB")))</f>
        <v>16</v>
      </c>
      <c r="AU66" s="72" t="str">
        <f t="shared" si="66"/>
        <v>Manufacturer-specific adjustable trip unit</v>
      </c>
      <c r="AV66" s="72">
        <f t="shared" si="67"/>
        <v>0</v>
      </c>
      <c r="AW66" s="72" t="str">
        <f t="shared" si="68"/>
        <v>Verify manufacturer instantaneous/magnetic pickup</v>
      </c>
      <c r="AX66" s="72" t="str">
        <f t="shared" si="69"/>
        <v>VERIFY MANUFACTURER</v>
      </c>
      <c r="AY66" s="72" t="str">
        <f t="shared" si="70"/>
        <v>PASS</v>
      </c>
      <c r="AZ66" s="72" t="str">
        <f t="shared" si="71"/>
        <v>16 A MCCB; target Ir 0.0 A; manufacturer trip-unit verification required</v>
      </c>
      <c r="BA66" s="73"/>
      <c r="BB66" s="72" t="str">
        <f t="shared" si="72"/>
        <v>ENTER CB Icu/Ics</v>
      </c>
      <c r="BC66" s="72" t="str">
        <f t="shared" si="73"/>
        <v>Enter manufacturer CB Icu/Ics. Required ≥ 0.00 kA</v>
      </c>
      <c r="BD66" s="72" t="str">
        <f>IF(OR(AS66="",AT66="",AV66=""),"",IF(AND(AT66&gt;=AS66,COUNTIF(Lists!$J$2:$J$28,AT66)&gt;0,AV66&gt;=AS66,AV66&lt;=AT66),"PASS","FAIL - REVIEW MCCB FRAME/TRIP UNIT"))</f>
        <v>PASS</v>
      </c>
      <c r="BE66" s="86"/>
      <c r="BF66" s="86" t="str">
        <f t="shared" si="74"/>
        <v>XLPE</v>
      </c>
      <c r="BG66" s="86" t="str">
        <f t="shared" si="75"/>
        <v>3C</v>
      </c>
      <c r="BH66" s="86" t="str">
        <f t="shared" si="76"/>
        <v>Al</v>
      </c>
      <c r="BI66" s="86" t="str">
        <f t="shared" si="77"/>
        <v>XLPE</v>
      </c>
      <c r="BJ66" s="86" t="str">
        <f t="shared" si="78"/>
        <v>Armoured</v>
      </c>
      <c r="BK66" s="86" t="str">
        <f t="shared" si="79"/>
        <v/>
      </c>
      <c r="BL66" s="86">
        <f>IFERROR(SUMIFS('Cable Data Master'!$K:$K,'Cable Data Master'!$A:$A,$BF66,'Cable Data Master'!$B:$B,$BG66,'Cable Data Master'!$C:$C,$BH66,'Cable Data Master'!$D:$D,$BI66,'Cable Data Master'!$E:$E,$BJ66,'Cable Data Master'!$F:$F,$BK66),"")</f>
        <v>0</v>
      </c>
      <c r="BM66" s="86">
        <f>IFERROR(SUMIFS('Cable Data Master'!$L:$L,'Cable Data Master'!$A:$A,$BF66,'Cable Data Master'!$B:$B,$BG66,'Cable Data Master'!$C:$C,$BH66,'Cable Data Master'!$D:$D,$BI66,'Cable Data Master'!$E:$E,$BJ66,'Cable Data Master'!$F:$F,$BK66),"")</f>
        <v>0</v>
      </c>
      <c r="BN66" s="86">
        <f>IFERROR(SUMIFS('Cable Data Master'!$G:$G,'Cable Data Master'!$A:$A,$BF66,'Cable Data Master'!$B:$B,$BG66,'Cable Data Master'!$C:$C,$BH66,'Cable Data Master'!$D:$D,$BI66,'Cable Data Master'!$E:$E,$BJ66,'Cable Data Master'!$F:$F,$BK66),"")</f>
        <v>0</v>
      </c>
      <c r="BO66" s="86">
        <f>IFERROR(SUMIFS('Cable Data Master'!$H:$H,'Cable Data Master'!$A:$A,$BF66,'Cable Data Master'!$B:$B,$BG66,'Cable Data Master'!$C:$C,$BH66,'Cable Data Master'!$D:$D,$BI66,'Cable Data Master'!$E:$E,$BJ66,'Cable Data Master'!$F:$F,$BK66),"")</f>
        <v>0</v>
      </c>
      <c r="BP66" s="86">
        <f>IFERROR(SUMIFS('Cable Data Master'!$I:$I,'Cable Data Master'!$A:$A,$BF66,'Cable Data Master'!$B:$B,$BG66,'Cable Data Master'!$C:$C,$BH66,'Cable Data Master'!$D:$D,$BI66,'Cable Data Master'!$E:$E,$BJ66,'Cable Data Master'!$F:$F,$BK66),"")</f>
        <v>0</v>
      </c>
      <c r="BQ66" s="86">
        <f>IFERROR(SUMIFS('Cable Data Master'!$J:$J,'Cable Data Master'!$A:$A,$BF66,'Cable Data Master'!$B:$B,$BG66,'Cable Data Master'!$C:$C,$BH66,'Cable Data Master'!$D:$D,$BI66,'Cable Data Master'!$E:$E,$BJ66,'Cable Data Master'!$F:$F,$BK66),"")</f>
        <v>0</v>
      </c>
      <c r="BR66" s="86"/>
    </row>
    <row r="67" spans="1:70" s="87" customFormat="1" ht="30" customHeight="1" x14ac:dyDescent="0.35">
      <c r="A67" s="72">
        <v>64</v>
      </c>
      <c r="B67" s="73"/>
      <c r="C67" s="73"/>
      <c r="D67" s="74">
        <v>4.5</v>
      </c>
      <c r="E67" s="74"/>
      <c r="F67" s="74" t="s">
        <v>132</v>
      </c>
      <c r="G67" s="72" t="str">
        <f>IF(OR(C67="",D67="",E67="",H67="",J67="",K67="",L67="",M67="",N67="",O67="",P67="",Q67="",R67="",S67=""),"",IFERROR(LOOKUP(2,1/(('AUTO ENGINE'!$A$2:$A$1201=ROW())*('AUTO ENGINE'!$M$2:$M$1201=1)),'AUTO ENGINE'!$B$2:$B$1201),"NO CABLE PASSES"))</f>
        <v/>
      </c>
      <c r="H67" s="73" t="s">
        <v>133</v>
      </c>
      <c r="I67" s="72">
        <f t="shared" si="42"/>
        <v>0</v>
      </c>
      <c r="J67" s="73">
        <v>1</v>
      </c>
      <c r="K67" s="73">
        <v>415</v>
      </c>
      <c r="L67" s="73">
        <v>0.53</v>
      </c>
      <c r="M67" s="73">
        <v>0.85</v>
      </c>
      <c r="N67" s="73">
        <v>0.95399999999999996</v>
      </c>
      <c r="O67" s="73"/>
      <c r="P67" s="73">
        <v>1.5</v>
      </c>
      <c r="Q67" s="73">
        <v>0.3</v>
      </c>
      <c r="R67" s="72">
        <f t="shared" si="43"/>
        <v>0</v>
      </c>
      <c r="S67" s="73">
        <v>0.2</v>
      </c>
      <c r="T67" s="72">
        <f t="shared" si="44"/>
        <v>0</v>
      </c>
      <c r="U67" s="72">
        <f t="shared" si="80"/>
        <v>0</v>
      </c>
      <c r="V67" s="72">
        <f t="shared" si="45"/>
        <v>0</v>
      </c>
      <c r="W67" s="72">
        <f t="shared" si="46"/>
        <v>0</v>
      </c>
      <c r="X67" s="72">
        <f t="shared" si="47"/>
        <v>0</v>
      </c>
      <c r="Y67" s="72">
        <f t="shared" si="48"/>
        <v>0</v>
      </c>
      <c r="Z67" s="72" t="str">
        <f t="shared" si="49"/>
        <v>PASS</v>
      </c>
      <c r="AA67" s="72">
        <f t="shared" si="50"/>
        <v>0</v>
      </c>
      <c r="AB67" s="72">
        <f t="shared" si="51"/>
        <v>0.95393920141694566</v>
      </c>
      <c r="AC67" s="72">
        <f t="shared" si="52"/>
        <v>0</v>
      </c>
      <c r="AD67" s="72">
        <f t="shared" si="53"/>
        <v>0</v>
      </c>
      <c r="AE67" s="72">
        <f t="shared" si="54"/>
        <v>0</v>
      </c>
      <c r="AF67" s="72" t="str">
        <f>IF(OR(AE67="",AD67=""),"",IF(AE67&lt;='OS-DORAEN'!$B$6,"PASS","FAIL"))</f>
        <v>PASS</v>
      </c>
      <c r="AG67" s="72">
        <f t="shared" si="55"/>
        <v>0.52678268764263703</v>
      </c>
      <c r="AH67" s="72">
        <f t="shared" si="56"/>
        <v>0</v>
      </c>
      <c r="AI67" s="72">
        <f t="shared" si="57"/>
        <v>0</v>
      </c>
      <c r="AJ67" s="72">
        <f t="shared" si="58"/>
        <v>0</v>
      </c>
      <c r="AK67" s="72" t="str">
        <f>IF(OR(AJ67="",AI67=""),"",IF(AJ67&lt;='OS-DORAEN'!$B$5,"PASS","FAIL"))</f>
        <v>PASS</v>
      </c>
      <c r="AL67" s="72" t="str">
        <f t="shared" si="59"/>
        <v/>
      </c>
      <c r="AM67" s="72" t="str">
        <f t="shared" si="60"/>
        <v/>
      </c>
      <c r="AN67" s="72" t="str">
        <f t="shared" si="61"/>
        <v/>
      </c>
      <c r="AO67" s="72" t="str">
        <f t="shared" si="62"/>
        <v>PASS</v>
      </c>
      <c r="AP67" s="72" t="str">
        <f t="shared" si="63"/>
        <v/>
      </c>
      <c r="AQ67" s="72" t="str">
        <f t="shared" si="64"/>
        <v/>
      </c>
      <c r="AR67" s="72" t="str">
        <f t="shared" si="81"/>
        <v/>
      </c>
      <c r="AS67" s="72">
        <f t="shared" si="65"/>
        <v>0</v>
      </c>
      <c r="AT67" s="72">
        <f>IF(AS67="","",IF(AS67&lt;=Lists!$J$2,Lists!$J$2,IFERROR(INDEX(Lists!$J$2:$J$28,IF(INDEX(Lists!$J$2:$J$28,MATCH(AS67,Lists!$J$2:$J$28,1))=AS67,MATCH(AS67,Lists!$J$2:$J$28,1),MATCH(AS67,Lists!$J$2:$J$28,1)+1)),"NO STANDARD CB")))</f>
        <v>16</v>
      </c>
      <c r="AU67" s="72" t="str">
        <f t="shared" si="66"/>
        <v>Manufacturer-specific adjustable trip unit</v>
      </c>
      <c r="AV67" s="72">
        <f t="shared" si="67"/>
        <v>0</v>
      </c>
      <c r="AW67" s="72" t="str">
        <f t="shared" si="68"/>
        <v>Verify manufacturer instantaneous/magnetic pickup</v>
      </c>
      <c r="AX67" s="72" t="str">
        <f t="shared" si="69"/>
        <v>VERIFY MANUFACTURER</v>
      </c>
      <c r="AY67" s="72" t="str">
        <f t="shared" si="70"/>
        <v>PASS</v>
      </c>
      <c r="AZ67" s="72" t="str">
        <f t="shared" si="71"/>
        <v>16 A MCCB; target Ir 0.0 A; manufacturer trip-unit verification required</v>
      </c>
      <c r="BA67" s="73"/>
      <c r="BB67" s="72" t="str">
        <f t="shared" si="72"/>
        <v>ENTER CB Icu/Ics</v>
      </c>
      <c r="BC67" s="72" t="str">
        <f t="shared" si="73"/>
        <v>Enter manufacturer CB Icu/Ics. Required ≥ 0.00 kA</v>
      </c>
      <c r="BD67" s="72" t="str">
        <f>IF(OR(AS67="",AT67="",AV67=""),"",IF(AND(AT67&gt;=AS67,COUNTIF(Lists!$J$2:$J$28,AT67)&gt;0,AV67&gt;=AS67,AV67&lt;=AT67),"PASS","FAIL - REVIEW MCCB FRAME/TRIP UNIT"))</f>
        <v>PASS</v>
      </c>
      <c r="BE67" s="86"/>
      <c r="BF67" s="86" t="str">
        <f t="shared" si="74"/>
        <v>XLPE</v>
      </c>
      <c r="BG67" s="86" t="str">
        <f t="shared" si="75"/>
        <v>3C</v>
      </c>
      <c r="BH67" s="86" t="str">
        <f t="shared" si="76"/>
        <v>Al</v>
      </c>
      <c r="BI67" s="86" t="str">
        <f t="shared" si="77"/>
        <v>XLPE</v>
      </c>
      <c r="BJ67" s="86" t="str">
        <f t="shared" si="78"/>
        <v>Armoured</v>
      </c>
      <c r="BK67" s="86" t="str">
        <f t="shared" si="79"/>
        <v/>
      </c>
      <c r="BL67" s="86">
        <f>IFERROR(SUMIFS('Cable Data Master'!$K:$K,'Cable Data Master'!$A:$A,$BF67,'Cable Data Master'!$B:$B,$BG67,'Cable Data Master'!$C:$C,$BH67,'Cable Data Master'!$D:$D,$BI67,'Cable Data Master'!$E:$E,$BJ67,'Cable Data Master'!$F:$F,$BK67),"")</f>
        <v>0</v>
      </c>
      <c r="BM67" s="86">
        <f>IFERROR(SUMIFS('Cable Data Master'!$L:$L,'Cable Data Master'!$A:$A,$BF67,'Cable Data Master'!$B:$B,$BG67,'Cable Data Master'!$C:$C,$BH67,'Cable Data Master'!$D:$D,$BI67,'Cable Data Master'!$E:$E,$BJ67,'Cable Data Master'!$F:$F,$BK67),"")</f>
        <v>0</v>
      </c>
      <c r="BN67" s="86">
        <f>IFERROR(SUMIFS('Cable Data Master'!$G:$G,'Cable Data Master'!$A:$A,$BF67,'Cable Data Master'!$B:$B,$BG67,'Cable Data Master'!$C:$C,$BH67,'Cable Data Master'!$D:$D,$BI67,'Cable Data Master'!$E:$E,$BJ67,'Cable Data Master'!$F:$F,$BK67),"")</f>
        <v>0</v>
      </c>
      <c r="BO67" s="86">
        <f>IFERROR(SUMIFS('Cable Data Master'!$H:$H,'Cable Data Master'!$A:$A,$BF67,'Cable Data Master'!$B:$B,$BG67,'Cable Data Master'!$C:$C,$BH67,'Cable Data Master'!$D:$D,$BI67,'Cable Data Master'!$E:$E,$BJ67,'Cable Data Master'!$F:$F,$BK67),"")</f>
        <v>0</v>
      </c>
      <c r="BP67" s="86">
        <f>IFERROR(SUMIFS('Cable Data Master'!$I:$I,'Cable Data Master'!$A:$A,$BF67,'Cable Data Master'!$B:$B,$BG67,'Cable Data Master'!$C:$C,$BH67,'Cable Data Master'!$D:$D,$BI67,'Cable Data Master'!$E:$E,$BJ67,'Cable Data Master'!$F:$F,$BK67),"")</f>
        <v>0</v>
      </c>
      <c r="BQ67" s="86">
        <f>IFERROR(SUMIFS('Cable Data Master'!$J:$J,'Cable Data Master'!$A:$A,$BF67,'Cable Data Master'!$B:$B,$BG67,'Cable Data Master'!$C:$C,$BH67,'Cable Data Master'!$D:$D,$BI67,'Cable Data Master'!$E:$E,$BJ67,'Cable Data Master'!$F:$F,$BK67),"")</f>
        <v>0</v>
      </c>
      <c r="BR67" s="86"/>
    </row>
    <row r="68" spans="1:70" s="87" customFormat="1" ht="30" customHeight="1" x14ac:dyDescent="0.35">
      <c r="A68" s="72">
        <v>65</v>
      </c>
      <c r="B68" s="73"/>
      <c r="C68" s="73"/>
      <c r="D68" s="74">
        <v>4.5</v>
      </c>
      <c r="E68" s="74"/>
      <c r="F68" s="74" t="s">
        <v>132</v>
      </c>
      <c r="G68" s="72" t="str">
        <f>IF(OR(C68="",D68="",E68="",H68="",J68="",K68="",L68="",M68="",N68="",O68="",P68="",Q68="",R68="",S68=""),"",IFERROR(LOOKUP(2,1/(('AUTO ENGINE'!$A$2:$A$1201=ROW())*('AUTO ENGINE'!$M$2:$M$1201=1)),'AUTO ENGINE'!$B$2:$B$1201),"NO CABLE PASSES"))</f>
        <v/>
      </c>
      <c r="H68" s="73" t="s">
        <v>133</v>
      </c>
      <c r="I68" s="72">
        <f t="shared" ref="I68:I103" si="82">IFERROR(BM68,"")</f>
        <v>0</v>
      </c>
      <c r="J68" s="73">
        <v>1</v>
      </c>
      <c r="K68" s="73">
        <v>415</v>
      </c>
      <c r="L68" s="73">
        <v>0.53</v>
      </c>
      <c r="M68" s="73">
        <v>0.85</v>
      </c>
      <c r="N68" s="73">
        <v>0.95399999999999996</v>
      </c>
      <c r="O68" s="73"/>
      <c r="P68" s="73">
        <v>1.5</v>
      </c>
      <c r="Q68" s="73">
        <v>0.3</v>
      </c>
      <c r="R68" s="72">
        <f t="shared" ref="R68:R103" si="83">IFERROR(C68*1000/(SQRT(3)*K68*(D68/100))/1000,"")</f>
        <v>0</v>
      </c>
      <c r="S68" s="73">
        <v>0.2</v>
      </c>
      <c r="T68" s="72">
        <f t="shared" ref="T68:T103" si="84">IFERROR(BQ68,"")</f>
        <v>0</v>
      </c>
      <c r="U68" s="72">
        <f t="shared" si="80"/>
        <v>0</v>
      </c>
      <c r="V68" s="72">
        <f t="shared" ref="V68:V103" si="85">IFERROR(BN68,"")</f>
        <v>0</v>
      </c>
      <c r="W68" s="72">
        <f t="shared" ref="W68:W103" si="86">IFERROR(BO68,"")</f>
        <v>0</v>
      </c>
      <c r="X68" s="72">
        <f t="shared" ref="X68:X103" si="87">IFERROR(BP68,"")</f>
        <v>0</v>
      </c>
      <c r="Y68" s="72">
        <f t="shared" ref="Y68:Y103" si="88">IFERROR(J68*L68*V68,"")</f>
        <v>0</v>
      </c>
      <c r="Z68" s="72" t="str">
        <f t="shared" ref="Z68:Z99" si="89">IF(OR(U68="",Y68=""),"",IF(Y68&gt;=U68,"PASS","FAIL"))</f>
        <v>PASS</v>
      </c>
      <c r="AA68" s="72">
        <f t="shared" ref="AA68:AA103" si="90">IFERROR(U68*P68,"")</f>
        <v>0</v>
      </c>
      <c r="AB68" s="72">
        <f t="shared" ref="AB68:AB103" si="91">IFERROR(SQRT(1-Q68^2),"")</f>
        <v>0.95393920141694566</v>
      </c>
      <c r="AC68" s="72">
        <f t="shared" ref="AC68:AC99" si="92">IFERROR(((W68*Q68)+(X68*AB68))/J68,"")</f>
        <v>0</v>
      </c>
      <c r="AD68" s="72">
        <f t="shared" ref="AD68:AD103" si="93">IFERROR(IF(AND(ISNUMBER(W68),ISNUMBER(X68),W68&gt;0,X68&gt;0),SQRT(3)*O68*AA68*((W68*Q68)+(X68*AB68))/J68,BL68*AA68*O68/J68),"")</f>
        <v>0</v>
      </c>
      <c r="AE68" s="72">
        <f t="shared" ref="AE68:AE99" si="94">IFERROR(AD68/K68*100,"")</f>
        <v>0</v>
      </c>
      <c r="AF68" s="72" t="str">
        <f>IF(OR(AE68="",AD68=""),"",IF(AE68&lt;='OS-DORAEN'!$B$6,"PASS","FAIL"))</f>
        <v>PASS</v>
      </c>
      <c r="AG68" s="72">
        <f t="shared" ref="AG68:AG103" si="95">IFERROR(SQRT(1-M68^2),"")</f>
        <v>0.52678268764263703</v>
      </c>
      <c r="AH68" s="72">
        <f t="shared" ref="AH68:AH99" si="96">IFERROR(((W68*M68)+(X68*AG68))/J68,"")</f>
        <v>0</v>
      </c>
      <c r="AI68" s="72">
        <f t="shared" ref="AI68:AI103" si="97">IFERROR(IF(AND(ISNUMBER(W68),ISNUMBER(X68),W68&gt;0,X68&gt;0),SQRT(3)*O68*U68*((W68*M68)+(X68*AG68))/J68,BL68*U68*O68/J68),"")</f>
        <v>0</v>
      </c>
      <c r="AJ68" s="72">
        <f t="shared" ref="AJ68:AJ99" si="98">IFERROR(AI68/K68*100,"")</f>
        <v>0</v>
      </c>
      <c r="AK68" s="72" t="str">
        <f>IF(OR(AJ68="",AI68=""),"",IF(AJ68&lt;='OS-DORAEN'!$B$5,"PASS","FAIL"))</f>
        <v>PASS</v>
      </c>
      <c r="AL68" s="72" t="str">
        <f t="shared" ref="AL68:AL103" si="99">IFERROR(R68*1000*SQRT(S68)/T68,"")</f>
        <v/>
      </c>
      <c r="AM68" s="72" t="str">
        <f t="shared" ref="AM68:AM103" si="100">IFERROR(G68*J68,"")</f>
        <v/>
      </c>
      <c r="AN68" s="72" t="str">
        <f t="shared" ref="AN68:AN99" si="101">IFERROR(T68*AM68/SQRT(S68)/1000,"")</f>
        <v/>
      </c>
      <c r="AO68" s="72" t="str">
        <f t="shared" ref="AO68:AO99" si="102">IF(OR(R68="",S68="",T68=""),"NOT CHECKED",IF(AN68&gt;=R68,"PASS","FAIL"))</f>
        <v>PASS</v>
      </c>
      <c r="AP68" s="72" t="str">
        <f t="shared" ref="AP68:AP99" si="103">IF(OR(B68="",E68=""),"",IF(AND(Z68="PASS",AF68="PASS",AK68="PASS",AO68="PASS"),"SUITABLE","NOT SUITABLE"))</f>
        <v/>
      </c>
      <c r="AQ68" s="72" t="str">
        <f t="shared" ref="AQ68:AQ103" si="104">IF(OR(B68="",E68=""),"",3)</f>
        <v/>
      </c>
      <c r="AR68" s="72" t="str">
        <f t="shared" si="81"/>
        <v/>
      </c>
      <c r="AS68" s="72">
        <f t="shared" ref="AS68:AS103" si="105">IF(U68="","",ROUND(U68,1))</f>
        <v>0</v>
      </c>
      <c r="AT68" s="72">
        <f>IF(AS68="","",IF(AS68&lt;=Lists!$J$2,Lists!$J$2,IFERROR(INDEX(Lists!$J$2:$J$28,IF(INDEX(Lists!$J$2:$J$28,MATCH(AS68,Lists!$J$2:$J$28,1))=AS68,MATCH(AS68,Lists!$J$2:$J$28,1),MATCH(AS68,Lists!$J$2:$J$28,1)+1)),"NO STANDARD CB")))</f>
        <v>16</v>
      </c>
      <c r="AU68" s="72" t="str">
        <f t="shared" ref="AU68:AU99" si="106">IF(AT68="","","Manufacturer-specific adjustable trip unit")</f>
        <v>Manufacturer-specific adjustable trip unit</v>
      </c>
      <c r="AV68" s="72">
        <f t="shared" ref="AV68:AV103" si="107">IF(AS68="","",ROUND(AS68,1))</f>
        <v>0</v>
      </c>
      <c r="AW68" s="72" t="str">
        <f t="shared" ref="AW68:AW103" si="108">IF(AT68="","","Verify manufacturer instantaneous/magnetic pickup")</f>
        <v>Verify manufacturer instantaneous/magnetic pickup</v>
      </c>
      <c r="AX68" s="72" t="str">
        <f t="shared" ref="AX68:AX103" si="109">IF(AA68="","","VERIFY MANUFACTURER")</f>
        <v>VERIFY MANUFACTURER</v>
      </c>
      <c r="AY68" s="72" t="str">
        <f t="shared" ref="AY68:AY103" si="110">IF(OR(AV68="",Y68="",AS68=""),"",IF(AND(AV68&gt;=AS68,AV68&lt;=Y68),"PASS","FAIL - THERMAL SETTING NOT COORDINATED"))</f>
        <v>PASS</v>
      </c>
      <c r="AZ68" s="72" t="str">
        <f t="shared" ref="AZ68:AZ103" si="111">IF(AS68="","",TEXT(AT68,"0")&amp;" A MCCB; target Ir "&amp;TEXT(AV68,"0.0")&amp;" A; manufacturer trip-unit verification required")</f>
        <v>16 A MCCB; target Ir 0.0 A; manufacturer trip-unit verification required</v>
      </c>
      <c r="BA68" s="73"/>
      <c r="BB68" s="72" t="str">
        <f t="shared" ref="BB68:BB99" si="112">IF(OR(R68="",BA68=""),"ENTER CB Icu/Ics",IF(BA68&gt;=R68,"PASS","FAIL - CB Icu/Ics &lt; FAULT LEVEL"))</f>
        <v>ENTER CB Icu/Ics</v>
      </c>
      <c r="BC68" s="72" t="str">
        <f t="shared" ref="BC68:BC103" si="113">IF(R68="","",IF(BA68="","Enter manufacturer CB Icu/Ics. Required ≥ "&amp;TEXT(R68,"0.00")&amp;" kA",IF(BA68&lt;R68,"FAIL: CB Icu/Ics "&amp;TEXT(BA68,"0.00")&amp;" kA &lt; fault level "&amp;TEXT(R68,"0.00")&amp;" kA","PASS: CB Icu/Ics "&amp;TEXT(BA68,"0.00")&amp;" kA ≥ fault level "&amp;TEXT(R68,"0.00")&amp;" kA")))</f>
        <v>Enter manufacturer CB Icu/Ics. Required ≥ 0.00 kA</v>
      </c>
      <c r="BD68" s="72" t="str">
        <f>IF(OR(AS68="",AT68="",AV68=""),"",IF(AND(AT68&gt;=AS68,COUNTIF(Lists!$J$2:$J$28,AT68)&gt;0,AV68&gt;=AS68,AV68&lt;=AT68),"PASS","FAIL - REVIEW MCCB FRAME/TRIP UNIT"))</f>
        <v>PASS</v>
      </c>
      <c r="BE68" s="86"/>
      <c r="BF68" s="86" t="str">
        <f t="shared" ref="BF68:BF103" si="114">IFERROR(TRIM(BI68),"")</f>
        <v>XLPE</v>
      </c>
      <c r="BG68" s="86" t="str">
        <f t="shared" ref="BG68:BG103" si="115">IFERROR(TRIM(LEFT(H68,FIND(" / ",H68)-1)),"")</f>
        <v>3C</v>
      </c>
      <c r="BH68" s="86" t="str">
        <f t="shared" ref="BH68:BH103" si="116">IFERROR(TRIM(MID(H68,FIND(" / ",H68)+3,FIND(" / ",H68,FIND(" / ",H68)+1)-FIND(" / ",H68)-3)),"")</f>
        <v>Al</v>
      </c>
      <c r="BI68" s="86" t="str">
        <f t="shared" ref="BI68:BI103" si="117">IFERROR(TRIM(MID(H68,FIND(" / ",H68,FIND(" / ",H68)+1)+3,FIND(" / ",H68,FIND(" / ",H68,FIND(" / ",H68)+1)+1)-FIND(" / ",H68,FIND(" / ",H68,FIND(" / ",H68)+1))-3)),"")</f>
        <v>XLPE</v>
      </c>
      <c r="BJ68" s="86" t="str">
        <f t="shared" ref="BJ68:BJ103" si="118">IFERROR(TRIM(RIGHT(H68,LEN(H68)-FIND(" / ",H68,FIND(" / ",H68,FIND(" / ",H68)+1)+1)-2)),"")</f>
        <v>Armoured</v>
      </c>
      <c r="BK68" s="86" t="str">
        <f t="shared" ref="BK68:BK103" si="119">G68</f>
        <v/>
      </c>
      <c r="BL68" s="86">
        <f>IFERROR(SUMIFS('Cable Data Master'!$K:$K,'Cable Data Master'!$A:$A,$BF68,'Cable Data Master'!$B:$B,$BG68,'Cable Data Master'!$C:$C,$BH68,'Cable Data Master'!$D:$D,$BI68,'Cable Data Master'!$E:$E,$BJ68,'Cable Data Master'!$F:$F,$BK68),"")</f>
        <v>0</v>
      </c>
      <c r="BM68" s="86">
        <f>IFERROR(SUMIFS('Cable Data Master'!$L:$L,'Cable Data Master'!$A:$A,$BF68,'Cable Data Master'!$B:$B,$BG68,'Cable Data Master'!$C:$C,$BH68,'Cable Data Master'!$D:$D,$BI68,'Cable Data Master'!$E:$E,$BJ68,'Cable Data Master'!$F:$F,$BK68),"")</f>
        <v>0</v>
      </c>
      <c r="BN68" s="86">
        <f>IFERROR(SUMIFS('Cable Data Master'!$G:$G,'Cable Data Master'!$A:$A,$BF68,'Cable Data Master'!$B:$B,$BG68,'Cable Data Master'!$C:$C,$BH68,'Cable Data Master'!$D:$D,$BI68,'Cable Data Master'!$E:$E,$BJ68,'Cable Data Master'!$F:$F,$BK68),"")</f>
        <v>0</v>
      </c>
      <c r="BO68" s="86">
        <f>IFERROR(SUMIFS('Cable Data Master'!$H:$H,'Cable Data Master'!$A:$A,$BF68,'Cable Data Master'!$B:$B,$BG68,'Cable Data Master'!$C:$C,$BH68,'Cable Data Master'!$D:$D,$BI68,'Cable Data Master'!$E:$E,$BJ68,'Cable Data Master'!$F:$F,$BK68),"")</f>
        <v>0</v>
      </c>
      <c r="BP68" s="86">
        <f>IFERROR(SUMIFS('Cable Data Master'!$I:$I,'Cable Data Master'!$A:$A,$BF68,'Cable Data Master'!$B:$B,$BG68,'Cable Data Master'!$C:$C,$BH68,'Cable Data Master'!$D:$D,$BI68,'Cable Data Master'!$E:$E,$BJ68,'Cable Data Master'!$F:$F,$BK68),"")</f>
        <v>0</v>
      </c>
      <c r="BQ68" s="86">
        <f>IFERROR(SUMIFS('Cable Data Master'!$J:$J,'Cable Data Master'!$A:$A,$BF68,'Cable Data Master'!$B:$B,$BG68,'Cable Data Master'!$C:$C,$BH68,'Cable Data Master'!$D:$D,$BI68,'Cable Data Master'!$E:$E,$BJ68,'Cable Data Master'!$F:$F,$BK68),"")</f>
        <v>0</v>
      </c>
      <c r="BR68" s="86"/>
    </row>
    <row r="69" spans="1:70" s="87" customFormat="1" ht="30" customHeight="1" x14ac:dyDescent="0.35">
      <c r="A69" s="72">
        <v>66</v>
      </c>
      <c r="B69" s="73"/>
      <c r="C69" s="73"/>
      <c r="D69" s="74">
        <v>4.5</v>
      </c>
      <c r="E69" s="74"/>
      <c r="F69" s="74" t="s">
        <v>132</v>
      </c>
      <c r="G69" s="72" t="str">
        <f>IF(OR(C69="",D69="",E69="",H69="",J69="",K69="",L69="",M69="",N69="",O69="",P69="",Q69="",R69="",S69=""),"",IFERROR(LOOKUP(2,1/(('AUTO ENGINE'!$A$2:$A$1201=ROW())*('AUTO ENGINE'!$M$2:$M$1201=1)),'AUTO ENGINE'!$B$2:$B$1201),"NO CABLE PASSES"))</f>
        <v/>
      </c>
      <c r="H69" s="73" t="s">
        <v>133</v>
      </c>
      <c r="I69" s="72">
        <f t="shared" si="82"/>
        <v>0</v>
      </c>
      <c r="J69" s="73">
        <v>1</v>
      </c>
      <c r="K69" s="73">
        <v>415</v>
      </c>
      <c r="L69" s="73">
        <v>0.53</v>
      </c>
      <c r="M69" s="73">
        <v>0.85</v>
      </c>
      <c r="N69" s="73">
        <v>0.95399999999999996</v>
      </c>
      <c r="O69" s="73"/>
      <c r="P69" s="73">
        <v>1.5</v>
      </c>
      <c r="Q69" s="73">
        <v>0.3</v>
      </c>
      <c r="R69" s="72">
        <f t="shared" si="83"/>
        <v>0</v>
      </c>
      <c r="S69" s="73">
        <v>0.2</v>
      </c>
      <c r="T69" s="72">
        <f t="shared" si="84"/>
        <v>0</v>
      </c>
      <c r="U69" s="72">
        <f t="shared" si="80"/>
        <v>0</v>
      </c>
      <c r="V69" s="72">
        <f t="shared" si="85"/>
        <v>0</v>
      </c>
      <c r="W69" s="72">
        <f t="shared" si="86"/>
        <v>0</v>
      </c>
      <c r="X69" s="72">
        <f t="shared" si="87"/>
        <v>0</v>
      </c>
      <c r="Y69" s="72">
        <f t="shared" si="88"/>
        <v>0</v>
      </c>
      <c r="Z69" s="72" t="str">
        <f t="shared" si="89"/>
        <v>PASS</v>
      </c>
      <c r="AA69" s="72">
        <f t="shared" si="90"/>
        <v>0</v>
      </c>
      <c r="AB69" s="72">
        <f t="shared" si="91"/>
        <v>0.95393920141694566</v>
      </c>
      <c r="AC69" s="72">
        <f t="shared" si="92"/>
        <v>0</v>
      </c>
      <c r="AD69" s="72">
        <f t="shared" si="93"/>
        <v>0</v>
      </c>
      <c r="AE69" s="72">
        <f t="shared" si="94"/>
        <v>0</v>
      </c>
      <c r="AF69" s="72" t="str">
        <f>IF(OR(AE69="",AD69=""),"",IF(AE69&lt;='OS-DORAEN'!$B$6,"PASS","FAIL"))</f>
        <v>PASS</v>
      </c>
      <c r="AG69" s="72">
        <f t="shared" si="95"/>
        <v>0.52678268764263703</v>
      </c>
      <c r="AH69" s="72">
        <f t="shared" si="96"/>
        <v>0</v>
      </c>
      <c r="AI69" s="72">
        <f t="shared" si="97"/>
        <v>0</v>
      </c>
      <c r="AJ69" s="72">
        <f t="shared" si="98"/>
        <v>0</v>
      </c>
      <c r="AK69" s="72" t="str">
        <f>IF(OR(AJ69="",AI69=""),"",IF(AJ69&lt;='OS-DORAEN'!$B$5,"PASS","FAIL"))</f>
        <v>PASS</v>
      </c>
      <c r="AL69" s="72" t="str">
        <f t="shared" si="99"/>
        <v/>
      </c>
      <c r="AM69" s="72" t="str">
        <f t="shared" si="100"/>
        <v/>
      </c>
      <c r="AN69" s="72" t="str">
        <f t="shared" si="101"/>
        <v/>
      </c>
      <c r="AO69" s="72" t="str">
        <f t="shared" si="102"/>
        <v>PASS</v>
      </c>
      <c r="AP69" s="72" t="str">
        <f t="shared" si="103"/>
        <v/>
      </c>
      <c r="AQ69" s="72" t="str">
        <f t="shared" si="104"/>
        <v/>
      </c>
      <c r="AR69" s="72" t="str">
        <f t="shared" si="81"/>
        <v/>
      </c>
      <c r="AS69" s="72">
        <f t="shared" si="105"/>
        <v>0</v>
      </c>
      <c r="AT69" s="72">
        <f>IF(AS69="","",IF(AS69&lt;=Lists!$J$2,Lists!$J$2,IFERROR(INDEX(Lists!$J$2:$J$28,IF(INDEX(Lists!$J$2:$J$28,MATCH(AS69,Lists!$J$2:$J$28,1))=AS69,MATCH(AS69,Lists!$J$2:$J$28,1),MATCH(AS69,Lists!$J$2:$J$28,1)+1)),"NO STANDARD CB")))</f>
        <v>16</v>
      </c>
      <c r="AU69" s="72" t="str">
        <f t="shared" si="106"/>
        <v>Manufacturer-specific adjustable trip unit</v>
      </c>
      <c r="AV69" s="72">
        <f t="shared" si="107"/>
        <v>0</v>
      </c>
      <c r="AW69" s="72" t="str">
        <f t="shared" si="108"/>
        <v>Verify manufacturer instantaneous/magnetic pickup</v>
      </c>
      <c r="AX69" s="72" t="str">
        <f t="shared" si="109"/>
        <v>VERIFY MANUFACTURER</v>
      </c>
      <c r="AY69" s="72" t="str">
        <f t="shared" si="110"/>
        <v>PASS</v>
      </c>
      <c r="AZ69" s="72" t="str">
        <f t="shared" si="111"/>
        <v>16 A MCCB; target Ir 0.0 A; manufacturer trip-unit verification required</v>
      </c>
      <c r="BA69" s="73"/>
      <c r="BB69" s="72" t="str">
        <f t="shared" si="112"/>
        <v>ENTER CB Icu/Ics</v>
      </c>
      <c r="BC69" s="72" t="str">
        <f t="shared" si="113"/>
        <v>Enter manufacturer CB Icu/Ics. Required ≥ 0.00 kA</v>
      </c>
      <c r="BD69" s="72" t="str">
        <f>IF(OR(AS69="",AT69="",AV69=""),"",IF(AND(AT69&gt;=AS69,COUNTIF(Lists!$J$2:$J$28,AT69)&gt;0,AV69&gt;=AS69,AV69&lt;=AT69),"PASS","FAIL - REVIEW MCCB FRAME/TRIP UNIT"))</f>
        <v>PASS</v>
      </c>
      <c r="BE69" s="86"/>
      <c r="BF69" s="86" t="str">
        <f t="shared" si="114"/>
        <v>XLPE</v>
      </c>
      <c r="BG69" s="86" t="str">
        <f t="shared" si="115"/>
        <v>3C</v>
      </c>
      <c r="BH69" s="86" t="str">
        <f t="shared" si="116"/>
        <v>Al</v>
      </c>
      <c r="BI69" s="86" t="str">
        <f t="shared" si="117"/>
        <v>XLPE</v>
      </c>
      <c r="BJ69" s="86" t="str">
        <f t="shared" si="118"/>
        <v>Armoured</v>
      </c>
      <c r="BK69" s="86" t="str">
        <f t="shared" si="119"/>
        <v/>
      </c>
      <c r="BL69" s="86">
        <f>IFERROR(SUMIFS('Cable Data Master'!$K:$K,'Cable Data Master'!$A:$A,$BF69,'Cable Data Master'!$B:$B,$BG69,'Cable Data Master'!$C:$C,$BH69,'Cable Data Master'!$D:$D,$BI69,'Cable Data Master'!$E:$E,$BJ69,'Cable Data Master'!$F:$F,$BK69),"")</f>
        <v>0</v>
      </c>
      <c r="BM69" s="86">
        <f>IFERROR(SUMIFS('Cable Data Master'!$L:$L,'Cable Data Master'!$A:$A,$BF69,'Cable Data Master'!$B:$B,$BG69,'Cable Data Master'!$C:$C,$BH69,'Cable Data Master'!$D:$D,$BI69,'Cable Data Master'!$E:$E,$BJ69,'Cable Data Master'!$F:$F,$BK69),"")</f>
        <v>0</v>
      </c>
      <c r="BN69" s="86">
        <f>IFERROR(SUMIFS('Cable Data Master'!$G:$G,'Cable Data Master'!$A:$A,$BF69,'Cable Data Master'!$B:$B,$BG69,'Cable Data Master'!$C:$C,$BH69,'Cable Data Master'!$D:$D,$BI69,'Cable Data Master'!$E:$E,$BJ69,'Cable Data Master'!$F:$F,$BK69),"")</f>
        <v>0</v>
      </c>
      <c r="BO69" s="86">
        <f>IFERROR(SUMIFS('Cable Data Master'!$H:$H,'Cable Data Master'!$A:$A,$BF69,'Cable Data Master'!$B:$B,$BG69,'Cable Data Master'!$C:$C,$BH69,'Cable Data Master'!$D:$D,$BI69,'Cable Data Master'!$E:$E,$BJ69,'Cable Data Master'!$F:$F,$BK69),"")</f>
        <v>0</v>
      </c>
      <c r="BP69" s="86">
        <f>IFERROR(SUMIFS('Cable Data Master'!$I:$I,'Cable Data Master'!$A:$A,$BF69,'Cable Data Master'!$B:$B,$BG69,'Cable Data Master'!$C:$C,$BH69,'Cable Data Master'!$D:$D,$BI69,'Cable Data Master'!$E:$E,$BJ69,'Cable Data Master'!$F:$F,$BK69),"")</f>
        <v>0</v>
      </c>
      <c r="BQ69" s="86">
        <f>IFERROR(SUMIFS('Cable Data Master'!$J:$J,'Cable Data Master'!$A:$A,$BF69,'Cable Data Master'!$B:$B,$BG69,'Cable Data Master'!$C:$C,$BH69,'Cable Data Master'!$D:$D,$BI69,'Cable Data Master'!$E:$E,$BJ69,'Cable Data Master'!$F:$F,$BK69),"")</f>
        <v>0</v>
      </c>
      <c r="BR69" s="86"/>
    </row>
    <row r="70" spans="1:70" s="87" customFormat="1" ht="30" customHeight="1" x14ac:dyDescent="0.35">
      <c r="A70" s="72">
        <v>67</v>
      </c>
      <c r="B70" s="73"/>
      <c r="C70" s="73"/>
      <c r="D70" s="74">
        <v>4.5</v>
      </c>
      <c r="E70" s="74"/>
      <c r="F70" s="74" t="s">
        <v>132</v>
      </c>
      <c r="G70" s="72" t="str">
        <f>IF(OR(C70="",D70="",E70="",H70="",J70="",K70="",L70="",M70="",N70="",O70="",P70="",Q70="",R70="",S70=""),"",IFERROR(LOOKUP(2,1/(('AUTO ENGINE'!$A$2:$A$1201=ROW())*('AUTO ENGINE'!$M$2:$M$1201=1)),'AUTO ENGINE'!$B$2:$B$1201),"NO CABLE PASSES"))</f>
        <v/>
      </c>
      <c r="H70" s="73" t="s">
        <v>133</v>
      </c>
      <c r="I70" s="72">
        <f t="shared" si="82"/>
        <v>0</v>
      </c>
      <c r="J70" s="73">
        <v>1</v>
      </c>
      <c r="K70" s="73">
        <v>415</v>
      </c>
      <c r="L70" s="73">
        <v>0.53</v>
      </c>
      <c r="M70" s="73">
        <v>0.85</v>
      </c>
      <c r="N70" s="73">
        <v>0.95399999999999996</v>
      </c>
      <c r="O70" s="73"/>
      <c r="P70" s="73">
        <v>1.5</v>
      </c>
      <c r="Q70" s="73">
        <v>0.3</v>
      </c>
      <c r="R70" s="72">
        <f t="shared" si="83"/>
        <v>0</v>
      </c>
      <c r="S70" s="73">
        <v>0.2</v>
      </c>
      <c r="T70" s="72">
        <f t="shared" si="84"/>
        <v>0</v>
      </c>
      <c r="U70" s="72">
        <f t="shared" si="80"/>
        <v>0</v>
      </c>
      <c r="V70" s="72">
        <f t="shared" si="85"/>
        <v>0</v>
      </c>
      <c r="W70" s="72">
        <f t="shared" si="86"/>
        <v>0</v>
      </c>
      <c r="X70" s="72">
        <f t="shared" si="87"/>
        <v>0</v>
      </c>
      <c r="Y70" s="72">
        <f t="shared" si="88"/>
        <v>0</v>
      </c>
      <c r="Z70" s="72" t="str">
        <f t="shared" si="89"/>
        <v>PASS</v>
      </c>
      <c r="AA70" s="72">
        <f t="shared" si="90"/>
        <v>0</v>
      </c>
      <c r="AB70" s="72">
        <f t="shared" si="91"/>
        <v>0.95393920141694566</v>
      </c>
      <c r="AC70" s="72">
        <f t="shared" si="92"/>
        <v>0</v>
      </c>
      <c r="AD70" s="72">
        <f t="shared" si="93"/>
        <v>0</v>
      </c>
      <c r="AE70" s="72">
        <f t="shared" si="94"/>
        <v>0</v>
      </c>
      <c r="AF70" s="72" t="str">
        <f>IF(OR(AE70="",AD70=""),"",IF(AE70&lt;='OS-DORAEN'!$B$6,"PASS","FAIL"))</f>
        <v>PASS</v>
      </c>
      <c r="AG70" s="72">
        <f t="shared" si="95"/>
        <v>0.52678268764263703</v>
      </c>
      <c r="AH70" s="72">
        <f t="shared" si="96"/>
        <v>0</v>
      </c>
      <c r="AI70" s="72">
        <f t="shared" si="97"/>
        <v>0</v>
      </c>
      <c r="AJ70" s="72">
        <f t="shared" si="98"/>
        <v>0</v>
      </c>
      <c r="AK70" s="72" t="str">
        <f>IF(OR(AJ70="",AI70=""),"",IF(AJ70&lt;='OS-DORAEN'!$B$5,"PASS","FAIL"))</f>
        <v>PASS</v>
      </c>
      <c r="AL70" s="72" t="str">
        <f t="shared" si="99"/>
        <v/>
      </c>
      <c r="AM70" s="72" t="str">
        <f t="shared" si="100"/>
        <v/>
      </c>
      <c r="AN70" s="72" t="str">
        <f t="shared" si="101"/>
        <v/>
      </c>
      <c r="AO70" s="72" t="str">
        <f t="shared" si="102"/>
        <v>PASS</v>
      </c>
      <c r="AP70" s="72" t="str">
        <f t="shared" si="103"/>
        <v/>
      </c>
      <c r="AQ70" s="72" t="str">
        <f t="shared" si="104"/>
        <v/>
      </c>
      <c r="AR70" s="72" t="str">
        <f t="shared" si="81"/>
        <v/>
      </c>
      <c r="AS70" s="72">
        <f t="shared" si="105"/>
        <v>0</v>
      </c>
      <c r="AT70" s="72">
        <f>IF(AS70="","",IF(AS70&lt;=Lists!$J$2,Lists!$J$2,IFERROR(INDEX(Lists!$J$2:$J$28,IF(INDEX(Lists!$J$2:$J$28,MATCH(AS70,Lists!$J$2:$J$28,1))=AS70,MATCH(AS70,Lists!$J$2:$J$28,1),MATCH(AS70,Lists!$J$2:$J$28,1)+1)),"NO STANDARD CB")))</f>
        <v>16</v>
      </c>
      <c r="AU70" s="72" t="str">
        <f t="shared" si="106"/>
        <v>Manufacturer-specific adjustable trip unit</v>
      </c>
      <c r="AV70" s="72">
        <f t="shared" si="107"/>
        <v>0</v>
      </c>
      <c r="AW70" s="72" t="str">
        <f t="shared" si="108"/>
        <v>Verify manufacturer instantaneous/magnetic pickup</v>
      </c>
      <c r="AX70" s="72" t="str">
        <f t="shared" si="109"/>
        <v>VERIFY MANUFACTURER</v>
      </c>
      <c r="AY70" s="72" t="str">
        <f t="shared" si="110"/>
        <v>PASS</v>
      </c>
      <c r="AZ70" s="72" t="str">
        <f t="shared" si="111"/>
        <v>16 A MCCB; target Ir 0.0 A; manufacturer trip-unit verification required</v>
      </c>
      <c r="BA70" s="73"/>
      <c r="BB70" s="72" t="str">
        <f t="shared" si="112"/>
        <v>ENTER CB Icu/Ics</v>
      </c>
      <c r="BC70" s="72" t="str">
        <f t="shared" si="113"/>
        <v>Enter manufacturer CB Icu/Ics. Required ≥ 0.00 kA</v>
      </c>
      <c r="BD70" s="72" t="str">
        <f>IF(OR(AS70="",AT70="",AV70=""),"",IF(AND(AT70&gt;=AS70,COUNTIF(Lists!$J$2:$J$28,AT70)&gt;0,AV70&gt;=AS70,AV70&lt;=AT70),"PASS","FAIL - REVIEW MCCB FRAME/TRIP UNIT"))</f>
        <v>PASS</v>
      </c>
      <c r="BE70" s="86"/>
      <c r="BF70" s="86" t="str">
        <f t="shared" si="114"/>
        <v>XLPE</v>
      </c>
      <c r="BG70" s="86" t="str">
        <f t="shared" si="115"/>
        <v>3C</v>
      </c>
      <c r="BH70" s="86" t="str">
        <f t="shared" si="116"/>
        <v>Al</v>
      </c>
      <c r="BI70" s="86" t="str">
        <f t="shared" si="117"/>
        <v>XLPE</v>
      </c>
      <c r="BJ70" s="86" t="str">
        <f t="shared" si="118"/>
        <v>Armoured</v>
      </c>
      <c r="BK70" s="86" t="str">
        <f t="shared" si="119"/>
        <v/>
      </c>
      <c r="BL70" s="86">
        <f>IFERROR(SUMIFS('Cable Data Master'!$K:$K,'Cable Data Master'!$A:$A,$BF70,'Cable Data Master'!$B:$B,$BG70,'Cable Data Master'!$C:$C,$BH70,'Cable Data Master'!$D:$D,$BI70,'Cable Data Master'!$E:$E,$BJ70,'Cable Data Master'!$F:$F,$BK70),"")</f>
        <v>0</v>
      </c>
      <c r="BM70" s="86">
        <f>IFERROR(SUMIFS('Cable Data Master'!$L:$L,'Cable Data Master'!$A:$A,$BF70,'Cable Data Master'!$B:$B,$BG70,'Cable Data Master'!$C:$C,$BH70,'Cable Data Master'!$D:$D,$BI70,'Cable Data Master'!$E:$E,$BJ70,'Cable Data Master'!$F:$F,$BK70),"")</f>
        <v>0</v>
      </c>
      <c r="BN70" s="86">
        <f>IFERROR(SUMIFS('Cable Data Master'!$G:$G,'Cable Data Master'!$A:$A,$BF70,'Cable Data Master'!$B:$B,$BG70,'Cable Data Master'!$C:$C,$BH70,'Cable Data Master'!$D:$D,$BI70,'Cable Data Master'!$E:$E,$BJ70,'Cable Data Master'!$F:$F,$BK70),"")</f>
        <v>0</v>
      </c>
      <c r="BO70" s="86">
        <f>IFERROR(SUMIFS('Cable Data Master'!$H:$H,'Cable Data Master'!$A:$A,$BF70,'Cable Data Master'!$B:$B,$BG70,'Cable Data Master'!$C:$C,$BH70,'Cable Data Master'!$D:$D,$BI70,'Cable Data Master'!$E:$E,$BJ70,'Cable Data Master'!$F:$F,$BK70),"")</f>
        <v>0</v>
      </c>
      <c r="BP70" s="86">
        <f>IFERROR(SUMIFS('Cable Data Master'!$I:$I,'Cable Data Master'!$A:$A,$BF70,'Cable Data Master'!$B:$B,$BG70,'Cable Data Master'!$C:$C,$BH70,'Cable Data Master'!$D:$D,$BI70,'Cable Data Master'!$E:$E,$BJ70,'Cable Data Master'!$F:$F,$BK70),"")</f>
        <v>0</v>
      </c>
      <c r="BQ70" s="86">
        <f>IFERROR(SUMIFS('Cable Data Master'!$J:$J,'Cable Data Master'!$A:$A,$BF70,'Cable Data Master'!$B:$B,$BG70,'Cable Data Master'!$C:$C,$BH70,'Cable Data Master'!$D:$D,$BI70,'Cable Data Master'!$E:$E,$BJ70,'Cable Data Master'!$F:$F,$BK70),"")</f>
        <v>0</v>
      </c>
      <c r="BR70" s="86"/>
    </row>
    <row r="71" spans="1:70" s="87" customFormat="1" ht="30" customHeight="1" x14ac:dyDescent="0.35">
      <c r="A71" s="72">
        <v>68</v>
      </c>
      <c r="B71" s="73"/>
      <c r="C71" s="73"/>
      <c r="D71" s="74">
        <v>4.5</v>
      </c>
      <c r="E71" s="74"/>
      <c r="F71" s="74" t="s">
        <v>132</v>
      </c>
      <c r="G71" s="72" t="str">
        <f>IF(OR(C71="",D71="",E71="",H71="",J71="",K71="",L71="",M71="",N71="",O71="",P71="",Q71="",R71="",S71=""),"",IFERROR(LOOKUP(2,1/(('AUTO ENGINE'!$A$2:$A$1201=ROW())*('AUTO ENGINE'!$M$2:$M$1201=1)),'AUTO ENGINE'!$B$2:$B$1201),"NO CABLE PASSES"))</f>
        <v/>
      </c>
      <c r="H71" s="73" t="s">
        <v>133</v>
      </c>
      <c r="I71" s="72">
        <f t="shared" si="82"/>
        <v>0</v>
      </c>
      <c r="J71" s="73">
        <v>1</v>
      </c>
      <c r="K71" s="73">
        <v>415</v>
      </c>
      <c r="L71" s="73">
        <v>0.53</v>
      </c>
      <c r="M71" s="73">
        <v>0.85</v>
      </c>
      <c r="N71" s="73">
        <v>0.95399999999999996</v>
      </c>
      <c r="O71" s="73"/>
      <c r="P71" s="73">
        <v>1.5</v>
      </c>
      <c r="Q71" s="73">
        <v>0.3</v>
      </c>
      <c r="R71" s="72">
        <f t="shared" si="83"/>
        <v>0</v>
      </c>
      <c r="S71" s="73">
        <v>0.2</v>
      </c>
      <c r="T71" s="72">
        <f t="shared" si="84"/>
        <v>0</v>
      </c>
      <c r="U71" s="72">
        <f t="shared" si="80"/>
        <v>0</v>
      </c>
      <c r="V71" s="72">
        <f t="shared" si="85"/>
        <v>0</v>
      </c>
      <c r="W71" s="72">
        <f t="shared" si="86"/>
        <v>0</v>
      </c>
      <c r="X71" s="72">
        <f t="shared" si="87"/>
        <v>0</v>
      </c>
      <c r="Y71" s="72">
        <f t="shared" si="88"/>
        <v>0</v>
      </c>
      <c r="Z71" s="72" t="str">
        <f t="shared" si="89"/>
        <v>PASS</v>
      </c>
      <c r="AA71" s="72">
        <f t="shared" si="90"/>
        <v>0</v>
      </c>
      <c r="AB71" s="72">
        <f t="shared" si="91"/>
        <v>0.95393920141694566</v>
      </c>
      <c r="AC71" s="72">
        <f t="shared" si="92"/>
        <v>0</v>
      </c>
      <c r="AD71" s="72">
        <f t="shared" si="93"/>
        <v>0</v>
      </c>
      <c r="AE71" s="72">
        <f t="shared" si="94"/>
        <v>0</v>
      </c>
      <c r="AF71" s="72" t="str">
        <f>IF(OR(AE71="",AD71=""),"",IF(AE71&lt;='OS-DORAEN'!$B$6,"PASS","FAIL"))</f>
        <v>PASS</v>
      </c>
      <c r="AG71" s="72">
        <f t="shared" si="95"/>
        <v>0.52678268764263703</v>
      </c>
      <c r="AH71" s="72">
        <f t="shared" si="96"/>
        <v>0</v>
      </c>
      <c r="AI71" s="72">
        <f t="shared" si="97"/>
        <v>0</v>
      </c>
      <c r="AJ71" s="72">
        <f t="shared" si="98"/>
        <v>0</v>
      </c>
      <c r="AK71" s="72" t="str">
        <f>IF(OR(AJ71="",AI71=""),"",IF(AJ71&lt;='OS-DORAEN'!$B$5,"PASS","FAIL"))</f>
        <v>PASS</v>
      </c>
      <c r="AL71" s="72" t="str">
        <f t="shared" si="99"/>
        <v/>
      </c>
      <c r="AM71" s="72" t="str">
        <f t="shared" si="100"/>
        <v/>
      </c>
      <c r="AN71" s="72" t="str">
        <f t="shared" si="101"/>
        <v/>
      </c>
      <c r="AO71" s="72" t="str">
        <f t="shared" si="102"/>
        <v>PASS</v>
      </c>
      <c r="AP71" s="72" t="str">
        <f t="shared" si="103"/>
        <v/>
      </c>
      <c r="AQ71" s="72" t="str">
        <f t="shared" si="104"/>
        <v/>
      </c>
      <c r="AR71" s="72" t="str">
        <f t="shared" si="81"/>
        <v/>
      </c>
      <c r="AS71" s="72">
        <f t="shared" si="105"/>
        <v>0</v>
      </c>
      <c r="AT71" s="72">
        <f>IF(AS71="","",IF(AS71&lt;=Lists!$J$2,Lists!$J$2,IFERROR(INDEX(Lists!$J$2:$J$28,IF(INDEX(Lists!$J$2:$J$28,MATCH(AS71,Lists!$J$2:$J$28,1))=AS71,MATCH(AS71,Lists!$J$2:$J$28,1),MATCH(AS71,Lists!$J$2:$J$28,1)+1)),"NO STANDARD CB")))</f>
        <v>16</v>
      </c>
      <c r="AU71" s="72" t="str">
        <f t="shared" si="106"/>
        <v>Manufacturer-specific adjustable trip unit</v>
      </c>
      <c r="AV71" s="72">
        <f t="shared" si="107"/>
        <v>0</v>
      </c>
      <c r="AW71" s="72" t="str">
        <f t="shared" si="108"/>
        <v>Verify manufacturer instantaneous/magnetic pickup</v>
      </c>
      <c r="AX71" s="72" t="str">
        <f t="shared" si="109"/>
        <v>VERIFY MANUFACTURER</v>
      </c>
      <c r="AY71" s="72" t="str">
        <f t="shared" si="110"/>
        <v>PASS</v>
      </c>
      <c r="AZ71" s="72" t="str">
        <f t="shared" si="111"/>
        <v>16 A MCCB; target Ir 0.0 A; manufacturer trip-unit verification required</v>
      </c>
      <c r="BA71" s="73"/>
      <c r="BB71" s="72" t="str">
        <f t="shared" si="112"/>
        <v>ENTER CB Icu/Ics</v>
      </c>
      <c r="BC71" s="72" t="str">
        <f t="shared" si="113"/>
        <v>Enter manufacturer CB Icu/Ics. Required ≥ 0.00 kA</v>
      </c>
      <c r="BD71" s="72" t="str">
        <f>IF(OR(AS71="",AT71="",AV71=""),"",IF(AND(AT71&gt;=AS71,COUNTIF(Lists!$J$2:$J$28,AT71)&gt;0,AV71&gt;=AS71,AV71&lt;=AT71),"PASS","FAIL - REVIEW MCCB FRAME/TRIP UNIT"))</f>
        <v>PASS</v>
      </c>
      <c r="BE71" s="86"/>
      <c r="BF71" s="86" t="str">
        <f t="shared" si="114"/>
        <v>XLPE</v>
      </c>
      <c r="BG71" s="86" t="str">
        <f t="shared" si="115"/>
        <v>3C</v>
      </c>
      <c r="BH71" s="86" t="str">
        <f t="shared" si="116"/>
        <v>Al</v>
      </c>
      <c r="BI71" s="86" t="str">
        <f t="shared" si="117"/>
        <v>XLPE</v>
      </c>
      <c r="BJ71" s="86" t="str">
        <f t="shared" si="118"/>
        <v>Armoured</v>
      </c>
      <c r="BK71" s="86" t="str">
        <f t="shared" si="119"/>
        <v/>
      </c>
      <c r="BL71" s="86">
        <f>IFERROR(SUMIFS('Cable Data Master'!$K:$K,'Cable Data Master'!$A:$A,$BF71,'Cable Data Master'!$B:$B,$BG71,'Cable Data Master'!$C:$C,$BH71,'Cable Data Master'!$D:$D,$BI71,'Cable Data Master'!$E:$E,$BJ71,'Cable Data Master'!$F:$F,$BK71),"")</f>
        <v>0</v>
      </c>
      <c r="BM71" s="86">
        <f>IFERROR(SUMIFS('Cable Data Master'!$L:$L,'Cable Data Master'!$A:$A,$BF71,'Cable Data Master'!$B:$B,$BG71,'Cable Data Master'!$C:$C,$BH71,'Cable Data Master'!$D:$D,$BI71,'Cable Data Master'!$E:$E,$BJ71,'Cable Data Master'!$F:$F,$BK71),"")</f>
        <v>0</v>
      </c>
      <c r="BN71" s="86">
        <f>IFERROR(SUMIFS('Cable Data Master'!$G:$G,'Cable Data Master'!$A:$A,$BF71,'Cable Data Master'!$B:$B,$BG71,'Cable Data Master'!$C:$C,$BH71,'Cable Data Master'!$D:$D,$BI71,'Cable Data Master'!$E:$E,$BJ71,'Cable Data Master'!$F:$F,$BK71),"")</f>
        <v>0</v>
      </c>
      <c r="BO71" s="86">
        <f>IFERROR(SUMIFS('Cable Data Master'!$H:$H,'Cable Data Master'!$A:$A,$BF71,'Cable Data Master'!$B:$B,$BG71,'Cable Data Master'!$C:$C,$BH71,'Cable Data Master'!$D:$D,$BI71,'Cable Data Master'!$E:$E,$BJ71,'Cable Data Master'!$F:$F,$BK71),"")</f>
        <v>0</v>
      </c>
      <c r="BP71" s="86">
        <f>IFERROR(SUMIFS('Cable Data Master'!$I:$I,'Cable Data Master'!$A:$A,$BF71,'Cable Data Master'!$B:$B,$BG71,'Cable Data Master'!$C:$C,$BH71,'Cable Data Master'!$D:$D,$BI71,'Cable Data Master'!$E:$E,$BJ71,'Cable Data Master'!$F:$F,$BK71),"")</f>
        <v>0</v>
      </c>
      <c r="BQ71" s="86">
        <f>IFERROR(SUMIFS('Cable Data Master'!$J:$J,'Cable Data Master'!$A:$A,$BF71,'Cable Data Master'!$B:$B,$BG71,'Cable Data Master'!$C:$C,$BH71,'Cable Data Master'!$D:$D,$BI71,'Cable Data Master'!$E:$E,$BJ71,'Cable Data Master'!$F:$F,$BK71),"")</f>
        <v>0</v>
      </c>
      <c r="BR71" s="86"/>
    </row>
    <row r="72" spans="1:70" s="87" customFormat="1" ht="30" customHeight="1" x14ac:dyDescent="0.35">
      <c r="A72" s="72">
        <v>69</v>
      </c>
      <c r="B72" s="73"/>
      <c r="C72" s="73"/>
      <c r="D72" s="74">
        <v>4.5</v>
      </c>
      <c r="E72" s="74"/>
      <c r="F72" s="74" t="s">
        <v>132</v>
      </c>
      <c r="G72" s="72" t="str">
        <f>IF(OR(C72="",D72="",E72="",H72="",J72="",K72="",L72="",M72="",N72="",O72="",P72="",Q72="",R72="",S72=""),"",IFERROR(LOOKUP(2,1/(('AUTO ENGINE'!$A$2:$A$1201=ROW())*('AUTO ENGINE'!$M$2:$M$1201=1)),'AUTO ENGINE'!$B$2:$B$1201),"NO CABLE PASSES"))</f>
        <v/>
      </c>
      <c r="H72" s="73" t="s">
        <v>133</v>
      </c>
      <c r="I72" s="72">
        <f t="shared" si="82"/>
        <v>0</v>
      </c>
      <c r="J72" s="73">
        <v>1</v>
      </c>
      <c r="K72" s="73">
        <v>415</v>
      </c>
      <c r="L72" s="73">
        <v>0.53</v>
      </c>
      <c r="M72" s="73">
        <v>0.85</v>
      </c>
      <c r="N72" s="73">
        <v>0.95399999999999996</v>
      </c>
      <c r="O72" s="73"/>
      <c r="P72" s="73">
        <v>1.5</v>
      </c>
      <c r="Q72" s="73">
        <v>0.3</v>
      </c>
      <c r="R72" s="72">
        <f t="shared" si="83"/>
        <v>0</v>
      </c>
      <c r="S72" s="73">
        <v>0.2</v>
      </c>
      <c r="T72" s="72">
        <f t="shared" si="84"/>
        <v>0</v>
      </c>
      <c r="U72" s="72">
        <f t="shared" si="80"/>
        <v>0</v>
      </c>
      <c r="V72" s="72">
        <f t="shared" si="85"/>
        <v>0</v>
      </c>
      <c r="W72" s="72">
        <f t="shared" si="86"/>
        <v>0</v>
      </c>
      <c r="X72" s="72">
        <f t="shared" si="87"/>
        <v>0</v>
      </c>
      <c r="Y72" s="72">
        <f t="shared" si="88"/>
        <v>0</v>
      </c>
      <c r="Z72" s="72" t="str">
        <f t="shared" si="89"/>
        <v>PASS</v>
      </c>
      <c r="AA72" s="72">
        <f t="shared" si="90"/>
        <v>0</v>
      </c>
      <c r="AB72" s="72">
        <f t="shared" si="91"/>
        <v>0.95393920141694566</v>
      </c>
      <c r="AC72" s="72">
        <f t="shared" si="92"/>
        <v>0</v>
      </c>
      <c r="AD72" s="72">
        <f t="shared" si="93"/>
        <v>0</v>
      </c>
      <c r="AE72" s="72">
        <f t="shared" si="94"/>
        <v>0</v>
      </c>
      <c r="AF72" s="72" t="str">
        <f>IF(OR(AE72="",AD72=""),"",IF(AE72&lt;='OS-DORAEN'!$B$6,"PASS","FAIL"))</f>
        <v>PASS</v>
      </c>
      <c r="AG72" s="72">
        <f t="shared" si="95"/>
        <v>0.52678268764263703</v>
      </c>
      <c r="AH72" s="72">
        <f t="shared" si="96"/>
        <v>0</v>
      </c>
      <c r="AI72" s="72">
        <f t="shared" si="97"/>
        <v>0</v>
      </c>
      <c r="AJ72" s="72">
        <f t="shared" si="98"/>
        <v>0</v>
      </c>
      <c r="AK72" s="72" t="str">
        <f>IF(OR(AJ72="",AI72=""),"",IF(AJ72&lt;='OS-DORAEN'!$B$5,"PASS","FAIL"))</f>
        <v>PASS</v>
      </c>
      <c r="AL72" s="72" t="str">
        <f t="shared" si="99"/>
        <v/>
      </c>
      <c r="AM72" s="72" t="str">
        <f t="shared" si="100"/>
        <v/>
      </c>
      <c r="AN72" s="72" t="str">
        <f t="shared" si="101"/>
        <v/>
      </c>
      <c r="AO72" s="72" t="str">
        <f t="shared" si="102"/>
        <v>PASS</v>
      </c>
      <c r="AP72" s="72" t="str">
        <f t="shared" si="103"/>
        <v/>
      </c>
      <c r="AQ72" s="72" t="str">
        <f t="shared" si="104"/>
        <v/>
      </c>
      <c r="AR72" s="72" t="str">
        <f t="shared" si="81"/>
        <v/>
      </c>
      <c r="AS72" s="72">
        <f t="shared" si="105"/>
        <v>0</v>
      </c>
      <c r="AT72" s="72">
        <f>IF(AS72="","",IF(AS72&lt;=Lists!$J$2,Lists!$J$2,IFERROR(INDEX(Lists!$J$2:$J$28,IF(INDEX(Lists!$J$2:$J$28,MATCH(AS72,Lists!$J$2:$J$28,1))=AS72,MATCH(AS72,Lists!$J$2:$J$28,1),MATCH(AS72,Lists!$J$2:$J$28,1)+1)),"NO STANDARD CB")))</f>
        <v>16</v>
      </c>
      <c r="AU72" s="72" t="str">
        <f t="shared" si="106"/>
        <v>Manufacturer-specific adjustable trip unit</v>
      </c>
      <c r="AV72" s="72">
        <f t="shared" si="107"/>
        <v>0</v>
      </c>
      <c r="AW72" s="72" t="str">
        <f t="shared" si="108"/>
        <v>Verify manufacturer instantaneous/magnetic pickup</v>
      </c>
      <c r="AX72" s="72" t="str">
        <f t="shared" si="109"/>
        <v>VERIFY MANUFACTURER</v>
      </c>
      <c r="AY72" s="72" t="str">
        <f t="shared" si="110"/>
        <v>PASS</v>
      </c>
      <c r="AZ72" s="72" t="str">
        <f t="shared" si="111"/>
        <v>16 A MCCB; target Ir 0.0 A; manufacturer trip-unit verification required</v>
      </c>
      <c r="BA72" s="73"/>
      <c r="BB72" s="72" t="str">
        <f t="shared" si="112"/>
        <v>ENTER CB Icu/Ics</v>
      </c>
      <c r="BC72" s="72" t="str">
        <f t="shared" si="113"/>
        <v>Enter manufacturer CB Icu/Ics. Required ≥ 0.00 kA</v>
      </c>
      <c r="BD72" s="72" t="str">
        <f>IF(OR(AS72="",AT72="",AV72=""),"",IF(AND(AT72&gt;=AS72,COUNTIF(Lists!$J$2:$J$28,AT72)&gt;0,AV72&gt;=AS72,AV72&lt;=AT72),"PASS","FAIL - REVIEW MCCB FRAME/TRIP UNIT"))</f>
        <v>PASS</v>
      </c>
      <c r="BE72" s="86"/>
      <c r="BF72" s="86" t="str">
        <f t="shared" si="114"/>
        <v>XLPE</v>
      </c>
      <c r="BG72" s="86" t="str">
        <f t="shared" si="115"/>
        <v>3C</v>
      </c>
      <c r="BH72" s="86" t="str">
        <f t="shared" si="116"/>
        <v>Al</v>
      </c>
      <c r="BI72" s="86" t="str">
        <f t="shared" si="117"/>
        <v>XLPE</v>
      </c>
      <c r="BJ72" s="86" t="str">
        <f t="shared" si="118"/>
        <v>Armoured</v>
      </c>
      <c r="BK72" s="86" t="str">
        <f t="shared" si="119"/>
        <v/>
      </c>
      <c r="BL72" s="86">
        <f>IFERROR(SUMIFS('Cable Data Master'!$K:$K,'Cable Data Master'!$A:$A,$BF72,'Cable Data Master'!$B:$B,$BG72,'Cable Data Master'!$C:$C,$BH72,'Cable Data Master'!$D:$D,$BI72,'Cable Data Master'!$E:$E,$BJ72,'Cable Data Master'!$F:$F,$BK72),"")</f>
        <v>0</v>
      </c>
      <c r="BM72" s="86">
        <f>IFERROR(SUMIFS('Cable Data Master'!$L:$L,'Cable Data Master'!$A:$A,$BF72,'Cable Data Master'!$B:$B,$BG72,'Cable Data Master'!$C:$C,$BH72,'Cable Data Master'!$D:$D,$BI72,'Cable Data Master'!$E:$E,$BJ72,'Cable Data Master'!$F:$F,$BK72),"")</f>
        <v>0</v>
      </c>
      <c r="BN72" s="86">
        <f>IFERROR(SUMIFS('Cable Data Master'!$G:$G,'Cable Data Master'!$A:$A,$BF72,'Cable Data Master'!$B:$B,$BG72,'Cable Data Master'!$C:$C,$BH72,'Cable Data Master'!$D:$D,$BI72,'Cable Data Master'!$E:$E,$BJ72,'Cable Data Master'!$F:$F,$BK72),"")</f>
        <v>0</v>
      </c>
      <c r="BO72" s="86">
        <f>IFERROR(SUMIFS('Cable Data Master'!$H:$H,'Cable Data Master'!$A:$A,$BF72,'Cable Data Master'!$B:$B,$BG72,'Cable Data Master'!$C:$C,$BH72,'Cable Data Master'!$D:$D,$BI72,'Cable Data Master'!$E:$E,$BJ72,'Cable Data Master'!$F:$F,$BK72),"")</f>
        <v>0</v>
      </c>
      <c r="BP72" s="86">
        <f>IFERROR(SUMIFS('Cable Data Master'!$I:$I,'Cable Data Master'!$A:$A,$BF72,'Cable Data Master'!$B:$B,$BG72,'Cable Data Master'!$C:$C,$BH72,'Cable Data Master'!$D:$D,$BI72,'Cable Data Master'!$E:$E,$BJ72,'Cable Data Master'!$F:$F,$BK72),"")</f>
        <v>0</v>
      </c>
      <c r="BQ72" s="86">
        <f>IFERROR(SUMIFS('Cable Data Master'!$J:$J,'Cable Data Master'!$A:$A,$BF72,'Cable Data Master'!$B:$B,$BG72,'Cable Data Master'!$C:$C,$BH72,'Cable Data Master'!$D:$D,$BI72,'Cable Data Master'!$E:$E,$BJ72,'Cable Data Master'!$F:$F,$BK72),"")</f>
        <v>0</v>
      </c>
      <c r="BR72" s="86"/>
    </row>
    <row r="73" spans="1:70" s="87" customFormat="1" ht="30" customHeight="1" x14ac:dyDescent="0.35">
      <c r="A73" s="72">
        <v>70</v>
      </c>
      <c r="B73" s="73"/>
      <c r="C73" s="73"/>
      <c r="D73" s="74">
        <v>4.5</v>
      </c>
      <c r="E73" s="74"/>
      <c r="F73" s="74" t="s">
        <v>132</v>
      </c>
      <c r="G73" s="72" t="str">
        <f>IF(OR(C73="",D73="",E73="",H73="",J73="",K73="",L73="",M73="",N73="",O73="",P73="",Q73="",R73="",S73=""),"",IFERROR(LOOKUP(2,1/(('AUTO ENGINE'!$A$2:$A$1201=ROW())*('AUTO ENGINE'!$M$2:$M$1201=1)),'AUTO ENGINE'!$B$2:$B$1201),"NO CABLE PASSES"))</f>
        <v/>
      </c>
      <c r="H73" s="73" t="s">
        <v>133</v>
      </c>
      <c r="I73" s="72">
        <f t="shared" si="82"/>
        <v>0</v>
      </c>
      <c r="J73" s="73">
        <v>1</v>
      </c>
      <c r="K73" s="73">
        <v>415</v>
      </c>
      <c r="L73" s="73">
        <v>0.53</v>
      </c>
      <c r="M73" s="73">
        <v>0.85</v>
      </c>
      <c r="N73" s="73">
        <v>0.95399999999999996</v>
      </c>
      <c r="O73" s="73"/>
      <c r="P73" s="73">
        <v>1.5</v>
      </c>
      <c r="Q73" s="73">
        <v>0.3</v>
      </c>
      <c r="R73" s="72">
        <f t="shared" si="83"/>
        <v>0</v>
      </c>
      <c r="S73" s="73">
        <v>0.2</v>
      </c>
      <c r="T73" s="72">
        <f t="shared" si="84"/>
        <v>0</v>
      </c>
      <c r="U73" s="72">
        <f t="shared" si="80"/>
        <v>0</v>
      </c>
      <c r="V73" s="72">
        <f t="shared" si="85"/>
        <v>0</v>
      </c>
      <c r="W73" s="72">
        <f t="shared" si="86"/>
        <v>0</v>
      </c>
      <c r="X73" s="72">
        <f t="shared" si="87"/>
        <v>0</v>
      </c>
      <c r="Y73" s="72">
        <f t="shared" si="88"/>
        <v>0</v>
      </c>
      <c r="Z73" s="72" t="str">
        <f t="shared" si="89"/>
        <v>PASS</v>
      </c>
      <c r="AA73" s="72">
        <f t="shared" si="90"/>
        <v>0</v>
      </c>
      <c r="AB73" s="72">
        <f t="shared" si="91"/>
        <v>0.95393920141694566</v>
      </c>
      <c r="AC73" s="72">
        <f t="shared" si="92"/>
        <v>0</v>
      </c>
      <c r="AD73" s="72">
        <f t="shared" si="93"/>
        <v>0</v>
      </c>
      <c r="AE73" s="72">
        <f t="shared" si="94"/>
        <v>0</v>
      </c>
      <c r="AF73" s="72" t="str">
        <f>IF(OR(AE73="",AD73=""),"",IF(AE73&lt;='OS-DORAEN'!$B$6,"PASS","FAIL"))</f>
        <v>PASS</v>
      </c>
      <c r="AG73" s="72">
        <f t="shared" si="95"/>
        <v>0.52678268764263703</v>
      </c>
      <c r="AH73" s="72">
        <f t="shared" si="96"/>
        <v>0</v>
      </c>
      <c r="AI73" s="72">
        <f t="shared" si="97"/>
        <v>0</v>
      </c>
      <c r="AJ73" s="72">
        <f t="shared" si="98"/>
        <v>0</v>
      </c>
      <c r="AK73" s="72" t="str">
        <f>IF(OR(AJ73="",AI73=""),"",IF(AJ73&lt;='OS-DORAEN'!$B$5,"PASS","FAIL"))</f>
        <v>PASS</v>
      </c>
      <c r="AL73" s="72" t="str">
        <f t="shared" si="99"/>
        <v/>
      </c>
      <c r="AM73" s="72" t="str">
        <f t="shared" si="100"/>
        <v/>
      </c>
      <c r="AN73" s="72" t="str">
        <f t="shared" si="101"/>
        <v/>
      </c>
      <c r="AO73" s="72" t="str">
        <f t="shared" si="102"/>
        <v>PASS</v>
      </c>
      <c r="AP73" s="72" t="str">
        <f t="shared" si="103"/>
        <v/>
      </c>
      <c r="AQ73" s="72" t="str">
        <f t="shared" si="104"/>
        <v/>
      </c>
      <c r="AR73" s="72" t="str">
        <f t="shared" si="81"/>
        <v/>
      </c>
      <c r="AS73" s="72">
        <f t="shared" si="105"/>
        <v>0</v>
      </c>
      <c r="AT73" s="72">
        <f>IF(AS73="","",IF(AS73&lt;=Lists!$J$2,Lists!$J$2,IFERROR(INDEX(Lists!$J$2:$J$28,IF(INDEX(Lists!$J$2:$J$28,MATCH(AS73,Lists!$J$2:$J$28,1))=AS73,MATCH(AS73,Lists!$J$2:$J$28,1),MATCH(AS73,Lists!$J$2:$J$28,1)+1)),"NO STANDARD CB")))</f>
        <v>16</v>
      </c>
      <c r="AU73" s="72" t="str">
        <f t="shared" si="106"/>
        <v>Manufacturer-specific adjustable trip unit</v>
      </c>
      <c r="AV73" s="72">
        <f t="shared" si="107"/>
        <v>0</v>
      </c>
      <c r="AW73" s="72" t="str">
        <f t="shared" si="108"/>
        <v>Verify manufacturer instantaneous/magnetic pickup</v>
      </c>
      <c r="AX73" s="72" t="str">
        <f t="shared" si="109"/>
        <v>VERIFY MANUFACTURER</v>
      </c>
      <c r="AY73" s="72" t="str">
        <f t="shared" si="110"/>
        <v>PASS</v>
      </c>
      <c r="AZ73" s="72" t="str">
        <f t="shared" si="111"/>
        <v>16 A MCCB; target Ir 0.0 A; manufacturer trip-unit verification required</v>
      </c>
      <c r="BA73" s="73"/>
      <c r="BB73" s="72" t="str">
        <f t="shared" si="112"/>
        <v>ENTER CB Icu/Ics</v>
      </c>
      <c r="BC73" s="72" t="str">
        <f t="shared" si="113"/>
        <v>Enter manufacturer CB Icu/Ics. Required ≥ 0.00 kA</v>
      </c>
      <c r="BD73" s="72" t="str">
        <f>IF(OR(AS73="",AT73="",AV73=""),"",IF(AND(AT73&gt;=AS73,COUNTIF(Lists!$J$2:$J$28,AT73)&gt;0,AV73&gt;=AS73,AV73&lt;=AT73),"PASS","FAIL - REVIEW MCCB FRAME/TRIP UNIT"))</f>
        <v>PASS</v>
      </c>
      <c r="BE73" s="86"/>
      <c r="BF73" s="86" t="str">
        <f t="shared" si="114"/>
        <v>XLPE</v>
      </c>
      <c r="BG73" s="86" t="str">
        <f t="shared" si="115"/>
        <v>3C</v>
      </c>
      <c r="BH73" s="86" t="str">
        <f t="shared" si="116"/>
        <v>Al</v>
      </c>
      <c r="BI73" s="86" t="str">
        <f t="shared" si="117"/>
        <v>XLPE</v>
      </c>
      <c r="BJ73" s="86" t="str">
        <f t="shared" si="118"/>
        <v>Armoured</v>
      </c>
      <c r="BK73" s="86" t="str">
        <f t="shared" si="119"/>
        <v/>
      </c>
      <c r="BL73" s="86">
        <f>IFERROR(SUMIFS('Cable Data Master'!$K:$K,'Cable Data Master'!$A:$A,$BF73,'Cable Data Master'!$B:$B,$BG73,'Cable Data Master'!$C:$C,$BH73,'Cable Data Master'!$D:$D,$BI73,'Cable Data Master'!$E:$E,$BJ73,'Cable Data Master'!$F:$F,$BK73),"")</f>
        <v>0</v>
      </c>
      <c r="BM73" s="86">
        <f>IFERROR(SUMIFS('Cable Data Master'!$L:$L,'Cable Data Master'!$A:$A,$BF73,'Cable Data Master'!$B:$B,$BG73,'Cable Data Master'!$C:$C,$BH73,'Cable Data Master'!$D:$D,$BI73,'Cable Data Master'!$E:$E,$BJ73,'Cable Data Master'!$F:$F,$BK73),"")</f>
        <v>0</v>
      </c>
      <c r="BN73" s="86">
        <f>IFERROR(SUMIFS('Cable Data Master'!$G:$G,'Cable Data Master'!$A:$A,$BF73,'Cable Data Master'!$B:$B,$BG73,'Cable Data Master'!$C:$C,$BH73,'Cable Data Master'!$D:$D,$BI73,'Cable Data Master'!$E:$E,$BJ73,'Cable Data Master'!$F:$F,$BK73),"")</f>
        <v>0</v>
      </c>
      <c r="BO73" s="86">
        <f>IFERROR(SUMIFS('Cable Data Master'!$H:$H,'Cable Data Master'!$A:$A,$BF73,'Cable Data Master'!$B:$B,$BG73,'Cable Data Master'!$C:$C,$BH73,'Cable Data Master'!$D:$D,$BI73,'Cable Data Master'!$E:$E,$BJ73,'Cable Data Master'!$F:$F,$BK73),"")</f>
        <v>0</v>
      </c>
      <c r="BP73" s="86">
        <f>IFERROR(SUMIFS('Cable Data Master'!$I:$I,'Cable Data Master'!$A:$A,$BF73,'Cable Data Master'!$B:$B,$BG73,'Cable Data Master'!$C:$C,$BH73,'Cable Data Master'!$D:$D,$BI73,'Cable Data Master'!$E:$E,$BJ73,'Cable Data Master'!$F:$F,$BK73),"")</f>
        <v>0</v>
      </c>
      <c r="BQ73" s="86">
        <f>IFERROR(SUMIFS('Cable Data Master'!$J:$J,'Cable Data Master'!$A:$A,$BF73,'Cable Data Master'!$B:$B,$BG73,'Cable Data Master'!$C:$C,$BH73,'Cable Data Master'!$D:$D,$BI73,'Cable Data Master'!$E:$E,$BJ73,'Cable Data Master'!$F:$F,$BK73),"")</f>
        <v>0</v>
      </c>
      <c r="BR73" s="86"/>
    </row>
    <row r="74" spans="1:70" s="87" customFormat="1" ht="30" customHeight="1" x14ac:dyDescent="0.35">
      <c r="A74" s="72">
        <v>71</v>
      </c>
      <c r="B74" s="73"/>
      <c r="C74" s="73"/>
      <c r="D74" s="74">
        <v>4.5</v>
      </c>
      <c r="E74" s="74"/>
      <c r="F74" s="74" t="s">
        <v>132</v>
      </c>
      <c r="G74" s="72" t="str">
        <f>IF(OR(C74="",D74="",E74="",H74="",J74="",K74="",L74="",M74="",N74="",O74="",P74="",Q74="",R74="",S74=""),"",IFERROR(LOOKUP(2,1/(('AUTO ENGINE'!$A$2:$A$1201=ROW())*('AUTO ENGINE'!$M$2:$M$1201=1)),'AUTO ENGINE'!$B$2:$B$1201),"NO CABLE PASSES"))</f>
        <v/>
      </c>
      <c r="H74" s="73" t="s">
        <v>133</v>
      </c>
      <c r="I74" s="72">
        <f t="shared" si="82"/>
        <v>0</v>
      </c>
      <c r="J74" s="73">
        <v>1</v>
      </c>
      <c r="K74" s="73">
        <v>415</v>
      </c>
      <c r="L74" s="73">
        <v>0.53</v>
      </c>
      <c r="M74" s="73">
        <v>0.85</v>
      </c>
      <c r="N74" s="73">
        <v>0.95399999999999996</v>
      </c>
      <c r="O74" s="73"/>
      <c r="P74" s="73">
        <v>1.5</v>
      </c>
      <c r="Q74" s="73">
        <v>0.3</v>
      </c>
      <c r="R74" s="72">
        <f t="shared" si="83"/>
        <v>0</v>
      </c>
      <c r="S74" s="73">
        <v>0.2</v>
      </c>
      <c r="T74" s="72">
        <f t="shared" si="84"/>
        <v>0</v>
      </c>
      <c r="U74" s="72">
        <f t="shared" si="80"/>
        <v>0</v>
      </c>
      <c r="V74" s="72">
        <f t="shared" si="85"/>
        <v>0</v>
      </c>
      <c r="W74" s="72">
        <f t="shared" si="86"/>
        <v>0</v>
      </c>
      <c r="X74" s="72">
        <f t="shared" si="87"/>
        <v>0</v>
      </c>
      <c r="Y74" s="72">
        <f t="shared" si="88"/>
        <v>0</v>
      </c>
      <c r="Z74" s="72" t="str">
        <f t="shared" si="89"/>
        <v>PASS</v>
      </c>
      <c r="AA74" s="72">
        <f t="shared" si="90"/>
        <v>0</v>
      </c>
      <c r="AB74" s="72">
        <f t="shared" si="91"/>
        <v>0.95393920141694566</v>
      </c>
      <c r="AC74" s="72">
        <f t="shared" si="92"/>
        <v>0</v>
      </c>
      <c r="AD74" s="72">
        <f t="shared" si="93"/>
        <v>0</v>
      </c>
      <c r="AE74" s="72">
        <f t="shared" si="94"/>
        <v>0</v>
      </c>
      <c r="AF74" s="72" t="str">
        <f>IF(OR(AE74="",AD74=""),"",IF(AE74&lt;='OS-DORAEN'!$B$6,"PASS","FAIL"))</f>
        <v>PASS</v>
      </c>
      <c r="AG74" s="72">
        <f t="shared" si="95"/>
        <v>0.52678268764263703</v>
      </c>
      <c r="AH74" s="72">
        <f t="shared" si="96"/>
        <v>0</v>
      </c>
      <c r="AI74" s="72">
        <f t="shared" si="97"/>
        <v>0</v>
      </c>
      <c r="AJ74" s="72">
        <f t="shared" si="98"/>
        <v>0</v>
      </c>
      <c r="AK74" s="72" t="str">
        <f>IF(OR(AJ74="",AI74=""),"",IF(AJ74&lt;='OS-DORAEN'!$B$5,"PASS","FAIL"))</f>
        <v>PASS</v>
      </c>
      <c r="AL74" s="72" t="str">
        <f t="shared" si="99"/>
        <v/>
      </c>
      <c r="AM74" s="72" t="str">
        <f t="shared" si="100"/>
        <v/>
      </c>
      <c r="AN74" s="72" t="str">
        <f t="shared" si="101"/>
        <v/>
      </c>
      <c r="AO74" s="72" t="str">
        <f t="shared" si="102"/>
        <v>PASS</v>
      </c>
      <c r="AP74" s="72" t="str">
        <f t="shared" si="103"/>
        <v/>
      </c>
      <c r="AQ74" s="72" t="str">
        <f t="shared" si="104"/>
        <v/>
      </c>
      <c r="AR74" s="72" t="str">
        <f t="shared" si="81"/>
        <v/>
      </c>
      <c r="AS74" s="72">
        <f t="shared" si="105"/>
        <v>0</v>
      </c>
      <c r="AT74" s="72">
        <f>IF(AS74="","",IF(AS74&lt;=Lists!$J$2,Lists!$J$2,IFERROR(INDEX(Lists!$J$2:$J$28,IF(INDEX(Lists!$J$2:$J$28,MATCH(AS74,Lists!$J$2:$J$28,1))=AS74,MATCH(AS74,Lists!$J$2:$J$28,1),MATCH(AS74,Lists!$J$2:$J$28,1)+1)),"NO STANDARD CB")))</f>
        <v>16</v>
      </c>
      <c r="AU74" s="72" t="str">
        <f t="shared" si="106"/>
        <v>Manufacturer-specific adjustable trip unit</v>
      </c>
      <c r="AV74" s="72">
        <f t="shared" si="107"/>
        <v>0</v>
      </c>
      <c r="AW74" s="72" t="str">
        <f t="shared" si="108"/>
        <v>Verify manufacturer instantaneous/magnetic pickup</v>
      </c>
      <c r="AX74" s="72" t="str">
        <f t="shared" si="109"/>
        <v>VERIFY MANUFACTURER</v>
      </c>
      <c r="AY74" s="72" t="str">
        <f t="shared" si="110"/>
        <v>PASS</v>
      </c>
      <c r="AZ74" s="72" t="str">
        <f t="shared" si="111"/>
        <v>16 A MCCB; target Ir 0.0 A; manufacturer trip-unit verification required</v>
      </c>
      <c r="BA74" s="73"/>
      <c r="BB74" s="72" t="str">
        <f t="shared" si="112"/>
        <v>ENTER CB Icu/Ics</v>
      </c>
      <c r="BC74" s="72" t="str">
        <f t="shared" si="113"/>
        <v>Enter manufacturer CB Icu/Ics. Required ≥ 0.00 kA</v>
      </c>
      <c r="BD74" s="72" t="str">
        <f>IF(OR(AS74="",AT74="",AV74=""),"",IF(AND(AT74&gt;=AS74,COUNTIF(Lists!$J$2:$J$28,AT74)&gt;0,AV74&gt;=AS74,AV74&lt;=AT74),"PASS","FAIL - REVIEW MCCB FRAME/TRIP UNIT"))</f>
        <v>PASS</v>
      </c>
      <c r="BE74" s="86"/>
      <c r="BF74" s="86" t="str">
        <f t="shared" si="114"/>
        <v>XLPE</v>
      </c>
      <c r="BG74" s="86" t="str">
        <f t="shared" si="115"/>
        <v>3C</v>
      </c>
      <c r="BH74" s="86" t="str">
        <f t="shared" si="116"/>
        <v>Al</v>
      </c>
      <c r="BI74" s="86" t="str">
        <f t="shared" si="117"/>
        <v>XLPE</v>
      </c>
      <c r="BJ74" s="86" t="str">
        <f t="shared" si="118"/>
        <v>Armoured</v>
      </c>
      <c r="BK74" s="86" t="str">
        <f t="shared" si="119"/>
        <v/>
      </c>
      <c r="BL74" s="86">
        <f>IFERROR(SUMIFS('Cable Data Master'!$K:$K,'Cable Data Master'!$A:$A,$BF74,'Cable Data Master'!$B:$B,$BG74,'Cable Data Master'!$C:$C,$BH74,'Cable Data Master'!$D:$D,$BI74,'Cable Data Master'!$E:$E,$BJ74,'Cable Data Master'!$F:$F,$BK74),"")</f>
        <v>0</v>
      </c>
      <c r="BM74" s="86">
        <f>IFERROR(SUMIFS('Cable Data Master'!$L:$L,'Cable Data Master'!$A:$A,$BF74,'Cable Data Master'!$B:$B,$BG74,'Cable Data Master'!$C:$C,$BH74,'Cable Data Master'!$D:$D,$BI74,'Cable Data Master'!$E:$E,$BJ74,'Cable Data Master'!$F:$F,$BK74),"")</f>
        <v>0</v>
      </c>
      <c r="BN74" s="86">
        <f>IFERROR(SUMIFS('Cable Data Master'!$G:$G,'Cable Data Master'!$A:$A,$BF74,'Cable Data Master'!$B:$B,$BG74,'Cable Data Master'!$C:$C,$BH74,'Cable Data Master'!$D:$D,$BI74,'Cable Data Master'!$E:$E,$BJ74,'Cable Data Master'!$F:$F,$BK74),"")</f>
        <v>0</v>
      </c>
      <c r="BO74" s="86">
        <f>IFERROR(SUMIFS('Cable Data Master'!$H:$H,'Cable Data Master'!$A:$A,$BF74,'Cable Data Master'!$B:$B,$BG74,'Cable Data Master'!$C:$C,$BH74,'Cable Data Master'!$D:$D,$BI74,'Cable Data Master'!$E:$E,$BJ74,'Cable Data Master'!$F:$F,$BK74),"")</f>
        <v>0</v>
      </c>
      <c r="BP74" s="86">
        <f>IFERROR(SUMIFS('Cable Data Master'!$I:$I,'Cable Data Master'!$A:$A,$BF74,'Cable Data Master'!$B:$B,$BG74,'Cable Data Master'!$C:$C,$BH74,'Cable Data Master'!$D:$D,$BI74,'Cable Data Master'!$E:$E,$BJ74,'Cable Data Master'!$F:$F,$BK74),"")</f>
        <v>0</v>
      </c>
      <c r="BQ74" s="86">
        <f>IFERROR(SUMIFS('Cable Data Master'!$J:$J,'Cable Data Master'!$A:$A,$BF74,'Cable Data Master'!$B:$B,$BG74,'Cable Data Master'!$C:$C,$BH74,'Cable Data Master'!$D:$D,$BI74,'Cable Data Master'!$E:$E,$BJ74,'Cable Data Master'!$F:$F,$BK74),"")</f>
        <v>0</v>
      </c>
      <c r="BR74" s="86"/>
    </row>
    <row r="75" spans="1:70" s="87" customFormat="1" ht="30" customHeight="1" x14ac:dyDescent="0.35">
      <c r="A75" s="72">
        <v>72</v>
      </c>
      <c r="B75" s="73"/>
      <c r="C75" s="73"/>
      <c r="D75" s="74">
        <v>4.5</v>
      </c>
      <c r="E75" s="74"/>
      <c r="F75" s="74" t="s">
        <v>132</v>
      </c>
      <c r="G75" s="72" t="str">
        <f>IF(OR(C75="",D75="",E75="",H75="",J75="",K75="",L75="",M75="",N75="",O75="",P75="",Q75="",R75="",S75=""),"",IFERROR(LOOKUP(2,1/(('AUTO ENGINE'!$A$2:$A$1201=ROW())*('AUTO ENGINE'!$M$2:$M$1201=1)),'AUTO ENGINE'!$B$2:$B$1201),"NO CABLE PASSES"))</f>
        <v/>
      </c>
      <c r="H75" s="73" t="s">
        <v>133</v>
      </c>
      <c r="I75" s="72">
        <f t="shared" si="82"/>
        <v>0</v>
      </c>
      <c r="J75" s="73">
        <v>1</v>
      </c>
      <c r="K75" s="73">
        <v>415</v>
      </c>
      <c r="L75" s="73">
        <v>0.53</v>
      </c>
      <c r="M75" s="73">
        <v>0.85</v>
      </c>
      <c r="N75" s="73">
        <v>0.95399999999999996</v>
      </c>
      <c r="O75" s="73"/>
      <c r="P75" s="73">
        <v>1.5</v>
      </c>
      <c r="Q75" s="73">
        <v>0.3</v>
      </c>
      <c r="R75" s="72">
        <f t="shared" si="83"/>
        <v>0</v>
      </c>
      <c r="S75" s="73">
        <v>0.2</v>
      </c>
      <c r="T75" s="72">
        <f t="shared" si="84"/>
        <v>0</v>
      </c>
      <c r="U75" s="72">
        <f t="shared" si="80"/>
        <v>0</v>
      </c>
      <c r="V75" s="72">
        <f t="shared" si="85"/>
        <v>0</v>
      </c>
      <c r="W75" s="72">
        <f t="shared" si="86"/>
        <v>0</v>
      </c>
      <c r="X75" s="72">
        <f t="shared" si="87"/>
        <v>0</v>
      </c>
      <c r="Y75" s="72">
        <f t="shared" si="88"/>
        <v>0</v>
      </c>
      <c r="Z75" s="72" t="str">
        <f t="shared" si="89"/>
        <v>PASS</v>
      </c>
      <c r="AA75" s="72">
        <f t="shared" si="90"/>
        <v>0</v>
      </c>
      <c r="AB75" s="72">
        <f t="shared" si="91"/>
        <v>0.95393920141694566</v>
      </c>
      <c r="AC75" s="72">
        <f t="shared" si="92"/>
        <v>0</v>
      </c>
      <c r="AD75" s="72">
        <f t="shared" si="93"/>
        <v>0</v>
      </c>
      <c r="AE75" s="72">
        <f t="shared" si="94"/>
        <v>0</v>
      </c>
      <c r="AF75" s="72" t="str">
        <f>IF(OR(AE75="",AD75=""),"",IF(AE75&lt;='OS-DORAEN'!$B$6,"PASS","FAIL"))</f>
        <v>PASS</v>
      </c>
      <c r="AG75" s="72">
        <f t="shared" si="95"/>
        <v>0.52678268764263703</v>
      </c>
      <c r="AH75" s="72">
        <f t="shared" si="96"/>
        <v>0</v>
      </c>
      <c r="AI75" s="72">
        <f t="shared" si="97"/>
        <v>0</v>
      </c>
      <c r="AJ75" s="72">
        <f t="shared" si="98"/>
        <v>0</v>
      </c>
      <c r="AK75" s="72" t="str">
        <f>IF(OR(AJ75="",AI75=""),"",IF(AJ75&lt;='OS-DORAEN'!$B$5,"PASS","FAIL"))</f>
        <v>PASS</v>
      </c>
      <c r="AL75" s="72" t="str">
        <f t="shared" si="99"/>
        <v/>
      </c>
      <c r="AM75" s="72" t="str">
        <f t="shared" si="100"/>
        <v/>
      </c>
      <c r="AN75" s="72" t="str">
        <f t="shared" si="101"/>
        <v/>
      </c>
      <c r="AO75" s="72" t="str">
        <f t="shared" si="102"/>
        <v>PASS</v>
      </c>
      <c r="AP75" s="72" t="str">
        <f t="shared" si="103"/>
        <v/>
      </c>
      <c r="AQ75" s="72" t="str">
        <f t="shared" si="104"/>
        <v/>
      </c>
      <c r="AR75" s="72" t="str">
        <f t="shared" si="81"/>
        <v/>
      </c>
      <c r="AS75" s="72">
        <f t="shared" si="105"/>
        <v>0</v>
      </c>
      <c r="AT75" s="72">
        <f>IF(AS75="","",IF(AS75&lt;=Lists!$J$2,Lists!$J$2,IFERROR(INDEX(Lists!$J$2:$J$28,IF(INDEX(Lists!$J$2:$J$28,MATCH(AS75,Lists!$J$2:$J$28,1))=AS75,MATCH(AS75,Lists!$J$2:$J$28,1),MATCH(AS75,Lists!$J$2:$J$28,1)+1)),"NO STANDARD CB")))</f>
        <v>16</v>
      </c>
      <c r="AU75" s="72" t="str">
        <f t="shared" si="106"/>
        <v>Manufacturer-specific adjustable trip unit</v>
      </c>
      <c r="AV75" s="72">
        <f t="shared" si="107"/>
        <v>0</v>
      </c>
      <c r="AW75" s="72" t="str">
        <f t="shared" si="108"/>
        <v>Verify manufacturer instantaneous/magnetic pickup</v>
      </c>
      <c r="AX75" s="72" t="str">
        <f t="shared" si="109"/>
        <v>VERIFY MANUFACTURER</v>
      </c>
      <c r="AY75" s="72" t="str">
        <f t="shared" si="110"/>
        <v>PASS</v>
      </c>
      <c r="AZ75" s="72" t="str">
        <f t="shared" si="111"/>
        <v>16 A MCCB; target Ir 0.0 A; manufacturer trip-unit verification required</v>
      </c>
      <c r="BA75" s="73"/>
      <c r="BB75" s="72" t="str">
        <f t="shared" si="112"/>
        <v>ENTER CB Icu/Ics</v>
      </c>
      <c r="BC75" s="72" t="str">
        <f t="shared" si="113"/>
        <v>Enter manufacturer CB Icu/Ics. Required ≥ 0.00 kA</v>
      </c>
      <c r="BD75" s="72" t="str">
        <f>IF(OR(AS75="",AT75="",AV75=""),"",IF(AND(AT75&gt;=AS75,COUNTIF(Lists!$J$2:$J$28,AT75)&gt;0,AV75&gt;=AS75,AV75&lt;=AT75),"PASS","FAIL - REVIEW MCCB FRAME/TRIP UNIT"))</f>
        <v>PASS</v>
      </c>
      <c r="BE75" s="86"/>
      <c r="BF75" s="86" t="str">
        <f t="shared" si="114"/>
        <v>XLPE</v>
      </c>
      <c r="BG75" s="86" t="str">
        <f t="shared" si="115"/>
        <v>3C</v>
      </c>
      <c r="BH75" s="86" t="str">
        <f t="shared" si="116"/>
        <v>Al</v>
      </c>
      <c r="BI75" s="86" t="str">
        <f t="shared" si="117"/>
        <v>XLPE</v>
      </c>
      <c r="BJ75" s="86" t="str">
        <f t="shared" si="118"/>
        <v>Armoured</v>
      </c>
      <c r="BK75" s="86" t="str">
        <f t="shared" si="119"/>
        <v/>
      </c>
      <c r="BL75" s="86">
        <f>IFERROR(SUMIFS('Cable Data Master'!$K:$K,'Cable Data Master'!$A:$A,$BF75,'Cable Data Master'!$B:$B,$BG75,'Cable Data Master'!$C:$C,$BH75,'Cable Data Master'!$D:$D,$BI75,'Cable Data Master'!$E:$E,$BJ75,'Cable Data Master'!$F:$F,$BK75),"")</f>
        <v>0</v>
      </c>
      <c r="BM75" s="86">
        <f>IFERROR(SUMIFS('Cable Data Master'!$L:$L,'Cable Data Master'!$A:$A,$BF75,'Cable Data Master'!$B:$B,$BG75,'Cable Data Master'!$C:$C,$BH75,'Cable Data Master'!$D:$D,$BI75,'Cable Data Master'!$E:$E,$BJ75,'Cable Data Master'!$F:$F,$BK75),"")</f>
        <v>0</v>
      </c>
      <c r="BN75" s="86">
        <f>IFERROR(SUMIFS('Cable Data Master'!$G:$G,'Cable Data Master'!$A:$A,$BF75,'Cable Data Master'!$B:$B,$BG75,'Cable Data Master'!$C:$C,$BH75,'Cable Data Master'!$D:$D,$BI75,'Cable Data Master'!$E:$E,$BJ75,'Cable Data Master'!$F:$F,$BK75),"")</f>
        <v>0</v>
      </c>
      <c r="BO75" s="86">
        <f>IFERROR(SUMIFS('Cable Data Master'!$H:$H,'Cable Data Master'!$A:$A,$BF75,'Cable Data Master'!$B:$B,$BG75,'Cable Data Master'!$C:$C,$BH75,'Cable Data Master'!$D:$D,$BI75,'Cable Data Master'!$E:$E,$BJ75,'Cable Data Master'!$F:$F,$BK75),"")</f>
        <v>0</v>
      </c>
      <c r="BP75" s="86">
        <f>IFERROR(SUMIFS('Cable Data Master'!$I:$I,'Cable Data Master'!$A:$A,$BF75,'Cable Data Master'!$B:$B,$BG75,'Cable Data Master'!$C:$C,$BH75,'Cable Data Master'!$D:$D,$BI75,'Cable Data Master'!$E:$E,$BJ75,'Cable Data Master'!$F:$F,$BK75),"")</f>
        <v>0</v>
      </c>
      <c r="BQ75" s="86">
        <f>IFERROR(SUMIFS('Cable Data Master'!$J:$J,'Cable Data Master'!$A:$A,$BF75,'Cable Data Master'!$B:$B,$BG75,'Cable Data Master'!$C:$C,$BH75,'Cable Data Master'!$D:$D,$BI75,'Cable Data Master'!$E:$E,$BJ75,'Cable Data Master'!$F:$F,$BK75),"")</f>
        <v>0</v>
      </c>
      <c r="BR75" s="86"/>
    </row>
    <row r="76" spans="1:70" s="87" customFormat="1" ht="30" customHeight="1" x14ac:dyDescent="0.35">
      <c r="A76" s="72">
        <v>73</v>
      </c>
      <c r="B76" s="73"/>
      <c r="C76" s="73"/>
      <c r="D76" s="74">
        <v>4.5</v>
      </c>
      <c r="E76" s="74"/>
      <c r="F76" s="74" t="s">
        <v>132</v>
      </c>
      <c r="G76" s="72" t="str">
        <f>IF(OR(C76="",D76="",E76="",H76="",J76="",K76="",L76="",M76="",N76="",O76="",P76="",Q76="",R76="",S76=""),"",IFERROR(LOOKUP(2,1/(('AUTO ENGINE'!$A$2:$A$1201=ROW())*('AUTO ENGINE'!$M$2:$M$1201=1)),'AUTO ENGINE'!$B$2:$B$1201),"NO CABLE PASSES"))</f>
        <v/>
      </c>
      <c r="H76" s="73" t="s">
        <v>133</v>
      </c>
      <c r="I76" s="72">
        <f t="shared" si="82"/>
        <v>0</v>
      </c>
      <c r="J76" s="73">
        <v>1</v>
      </c>
      <c r="K76" s="73">
        <v>415</v>
      </c>
      <c r="L76" s="73">
        <v>0.53</v>
      </c>
      <c r="M76" s="73">
        <v>0.85</v>
      </c>
      <c r="N76" s="73">
        <v>0.95399999999999996</v>
      </c>
      <c r="O76" s="73"/>
      <c r="P76" s="73">
        <v>1.5</v>
      </c>
      <c r="Q76" s="73">
        <v>0.3</v>
      </c>
      <c r="R76" s="72">
        <f t="shared" si="83"/>
        <v>0</v>
      </c>
      <c r="S76" s="73">
        <v>0.2</v>
      </c>
      <c r="T76" s="72">
        <f t="shared" si="84"/>
        <v>0</v>
      </c>
      <c r="U76" s="72">
        <f t="shared" si="80"/>
        <v>0</v>
      </c>
      <c r="V76" s="72">
        <f t="shared" si="85"/>
        <v>0</v>
      </c>
      <c r="W76" s="72">
        <f t="shared" si="86"/>
        <v>0</v>
      </c>
      <c r="X76" s="72">
        <f t="shared" si="87"/>
        <v>0</v>
      </c>
      <c r="Y76" s="72">
        <f t="shared" si="88"/>
        <v>0</v>
      </c>
      <c r="Z76" s="72" t="str">
        <f t="shared" si="89"/>
        <v>PASS</v>
      </c>
      <c r="AA76" s="72">
        <f t="shared" si="90"/>
        <v>0</v>
      </c>
      <c r="AB76" s="72">
        <f t="shared" si="91"/>
        <v>0.95393920141694566</v>
      </c>
      <c r="AC76" s="72">
        <f t="shared" si="92"/>
        <v>0</v>
      </c>
      <c r="AD76" s="72">
        <f t="shared" si="93"/>
        <v>0</v>
      </c>
      <c r="AE76" s="72">
        <f t="shared" si="94"/>
        <v>0</v>
      </c>
      <c r="AF76" s="72" t="str">
        <f>IF(OR(AE76="",AD76=""),"",IF(AE76&lt;='OS-DORAEN'!$B$6,"PASS","FAIL"))</f>
        <v>PASS</v>
      </c>
      <c r="AG76" s="72">
        <f t="shared" si="95"/>
        <v>0.52678268764263703</v>
      </c>
      <c r="AH76" s="72">
        <f t="shared" si="96"/>
        <v>0</v>
      </c>
      <c r="AI76" s="72">
        <f t="shared" si="97"/>
        <v>0</v>
      </c>
      <c r="AJ76" s="72">
        <f t="shared" si="98"/>
        <v>0</v>
      </c>
      <c r="AK76" s="72" t="str">
        <f>IF(OR(AJ76="",AI76=""),"",IF(AJ76&lt;='OS-DORAEN'!$B$5,"PASS","FAIL"))</f>
        <v>PASS</v>
      </c>
      <c r="AL76" s="72" t="str">
        <f t="shared" si="99"/>
        <v/>
      </c>
      <c r="AM76" s="72" t="str">
        <f t="shared" si="100"/>
        <v/>
      </c>
      <c r="AN76" s="72" t="str">
        <f t="shared" si="101"/>
        <v/>
      </c>
      <c r="AO76" s="72" t="str">
        <f t="shared" si="102"/>
        <v>PASS</v>
      </c>
      <c r="AP76" s="72" t="str">
        <f t="shared" si="103"/>
        <v/>
      </c>
      <c r="AQ76" s="72" t="str">
        <f t="shared" si="104"/>
        <v/>
      </c>
      <c r="AR76" s="72" t="str">
        <f t="shared" si="81"/>
        <v/>
      </c>
      <c r="AS76" s="72">
        <f t="shared" si="105"/>
        <v>0</v>
      </c>
      <c r="AT76" s="72">
        <f>IF(AS76="","",IF(AS76&lt;=Lists!$J$2,Lists!$J$2,IFERROR(INDEX(Lists!$J$2:$J$28,IF(INDEX(Lists!$J$2:$J$28,MATCH(AS76,Lists!$J$2:$J$28,1))=AS76,MATCH(AS76,Lists!$J$2:$J$28,1),MATCH(AS76,Lists!$J$2:$J$28,1)+1)),"NO STANDARD CB")))</f>
        <v>16</v>
      </c>
      <c r="AU76" s="72" t="str">
        <f t="shared" si="106"/>
        <v>Manufacturer-specific adjustable trip unit</v>
      </c>
      <c r="AV76" s="72">
        <f t="shared" si="107"/>
        <v>0</v>
      </c>
      <c r="AW76" s="72" t="str">
        <f t="shared" si="108"/>
        <v>Verify manufacturer instantaneous/magnetic pickup</v>
      </c>
      <c r="AX76" s="72" t="str">
        <f t="shared" si="109"/>
        <v>VERIFY MANUFACTURER</v>
      </c>
      <c r="AY76" s="72" t="str">
        <f t="shared" si="110"/>
        <v>PASS</v>
      </c>
      <c r="AZ76" s="72" t="str">
        <f t="shared" si="111"/>
        <v>16 A MCCB; target Ir 0.0 A; manufacturer trip-unit verification required</v>
      </c>
      <c r="BA76" s="73"/>
      <c r="BB76" s="72" t="str">
        <f t="shared" si="112"/>
        <v>ENTER CB Icu/Ics</v>
      </c>
      <c r="BC76" s="72" t="str">
        <f t="shared" si="113"/>
        <v>Enter manufacturer CB Icu/Ics. Required ≥ 0.00 kA</v>
      </c>
      <c r="BD76" s="72" t="str">
        <f>IF(OR(AS76="",AT76="",AV76=""),"",IF(AND(AT76&gt;=AS76,COUNTIF(Lists!$J$2:$J$28,AT76)&gt;0,AV76&gt;=AS76,AV76&lt;=AT76),"PASS","FAIL - REVIEW MCCB FRAME/TRIP UNIT"))</f>
        <v>PASS</v>
      </c>
      <c r="BE76" s="86"/>
      <c r="BF76" s="86" t="str">
        <f t="shared" si="114"/>
        <v>XLPE</v>
      </c>
      <c r="BG76" s="86" t="str">
        <f t="shared" si="115"/>
        <v>3C</v>
      </c>
      <c r="BH76" s="86" t="str">
        <f t="shared" si="116"/>
        <v>Al</v>
      </c>
      <c r="BI76" s="86" t="str">
        <f t="shared" si="117"/>
        <v>XLPE</v>
      </c>
      <c r="BJ76" s="86" t="str">
        <f t="shared" si="118"/>
        <v>Armoured</v>
      </c>
      <c r="BK76" s="86" t="str">
        <f t="shared" si="119"/>
        <v/>
      </c>
      <c r="BL76" s="86">
        <f>IFERROR(SUMIFS('Cable Data Master'!$K:$K,'Cable Data Master'!$A:$A,$BF76,'Cable Data Master'!$B:$B,$BG76,'Cable Data Master'!$C:$C,$BH76,'Cable Data Master'!$D:$D,$BI76,'Cable Data Master'!$E:$E,$BJ76,'Cable Data Master'!$F:$F,$BK76),"")</f>
        <v>0</v>
      </c>
      <c r="BM76" s="86">
        <f>IFERROR(SUMIFS('Cable Data Master'!$L:$L,'Cable Data Master'!$A:$A,$BF76,'Cable Data Master'!$B:$B,$BG76,'Cable Data Master'!$C:$C,$BH76,'Cable Data Master'!$D:$D,$BI76,'Cable Data Master'!$E:$E,$BJ76,'Cable Data Master'!$F:$F,$BK76),"")</f>
        <v>0</v>
      </c>
      <c r="BN76" s="86">
        <f>IFERROR(SUMIFS('Cable Data Master'!$G:$G,'Cable Data Master'!$A:$A,$BF76,'Cable Data Master'!$B:$B,$BG76,'Cable Data Master'!$C:$C,$BH76,'Cable Data Master'!$D:$D,$BI76,'Cable Data Master'!$E:$E,$BJ76,'Cable Data Master'!$F:$F,$BK76),"")</f>
        <v>0</v>
      </c>
      <c r="BO76" s="86">
        <f>IFERROR(SUMIFS('Cable Data Master'!$H:$H,'Cable Data Master'!$A:$A,$BF76,'Cable Data Master'!$B:$B,$BG76,'Cable Data Master'!$C:$C,$BH76,'Cable Data Master'!$D:$D,$BI76,'Cable Data Master'!$E:$E,$BJ76,'Cable Data Master'!$F:$F,$BK76),"")</f>
        <v>0</v>
      </c>
      <c r="BP76" s="86">
        <f>IFERROR(SUMIFS('Cable Data Master'!$I:$I,'Cable Data Master'!$A:$A,$BF76,'Cable Data Master'!$B:$B,$BG76,'Cable Data Master'!$C:$C,$BH76,'Cable Data Master'!$D:$D,$BI76,'Cable Data Master'!$E:$E,$BJ76,'Cable Data Master'!$F:$F,$BK76),"")</f>
        <v>0</v>
      </c>
      <c r="BQ76" s="86">
        <f>IFERROR(SUMIFS('Cable Data Master'!$J:$J,'Cable Data Master'!$A:$A,$BF76,'Cable Data Master'!$B:$B,$BG76,'Cable Data Master'!$C:$C,$BH76,'Cable Data Master'!$D:$D,$BI76,'Cable Data Master'!$E:$E,$BJ76,'Cable Data Master'!$F:$F,$BK76),"")</f>
        <v>0</v>
      </c>
      <c r="BR76" s="86"/>
    </row>
    <row r="77" spans="1:70" s="87" customFormat="1" ht="30" customHeight="1" x14ac:dyDescent="0.35">
      <c r="A77" s="72">
        <v>74</v>
      </c>
      <c r="B77" s="73"/>
      <c r="C77" s="73"/>
      <c r="D77" s="74">
        <v>4.5</v>
      </c>
      <c r="E77" s="74"/>
      <c r="F77" s="74" t="s">
        <v>132</v>
      </c>
      <c r="G77" s="72" t="str">
        <f>IF(OR(C77="",D77="",E77="",H77="",J77="",K77="",L77="",M77="",N77="",O77="",P77="",Q77="",R77="",S77=""),"",IFERROR(LOOKUP(2,1/(('AUTO ENGINE'!$A$2:$A$1201=ROW())*('AUTO ENGINE'!$M$2:$M$1201=1)),'AUTO ENGINE'!$B$2:$B$1201),"NO CABLE PASSES"))</f>
        <v/>
      </c>
      <c r="H77" s="73" t="s">
        <v>133</v>
      </c>
      <c r="I77" s="72">
        <f t="shared" si="82"/>
        <v>0</v>
      </c>
      <c r="J77" s="73">
        <v>1</v>
      </c>
      <c r="K77" s="73">
        <v>415</v>
      </c>
      <c r="L77" s="73">
        <v>0.53</v>
      </c>
      <c r="M77" s="73">
        <v>0.85</v>
      </c>
      <c r="N77" s="73">
        <v>0.95399999999999996</v>
      </c>
      <c r="O77" s="73"/>
      <c r="P77" s="73">
        <v>1.5</v>
      </c>
      <c r="Q77" s="73">
        <v>0.3</v>
      </c>
      <c r="R77" s="72">
        <f t="shared" si="83"/>
        <v>0</v>
      </c>
      <c r="S77" s="73">
        <v>0.2</v>
      </c>
      <c r="T77" s="72">
        <f t="shared" si="84"/>
        <v>0</v>
      </c>
      <c r="U77" s="72">
        <f t="shared" si="80"/>
        <v>0</v>
      </c>
      <c r="V77" s="72">
        <f t="shared" si="85"/>
        <v>0</v>
      </c>
      <c r="W77" s="72">
        <f t="shared" si="86"/>
        <v>0</v>
      </c>
      <c r="X77" s="72">
        <f t="shared" si="87"/>
        <v>0</v>
      </c>
      <c r="Y77" s="72">
        <f t="shared" si="88"/>
        <v>0</v>
      </c>
      <c r="Z77" s="72" t="str">
        <f t="shared" si="89"/>
        <v>PASS</v>
      </c>
      <c r="AA77" s="72">
        <f t="shared" si="90"/>
        <v>0</v>
      </c>
      <c r="AB77" s="72">
        <f t="shared" si="91"/>
        <v>0.95393920141694566</v>
      </c>
      <c r="AC77" s="72">
        <f t="shared" si="92"/>
        <v>0</v>
      </c>
      <c r="AD77" s="72">
        <f t="shared" si="93"/>
        <v>0</v>
      </c>
      <c r="AE77" s="72">
        <f t="shared" si="94"/>
        <v>0</v>
      </c>
      <c r="AF77" s="72" t="str">
        <f>IF(OR(AE77="",AD77=""),"",IF(AE77&lt;='OS-DORAEN'!$B$6,"PASS","FAIL"))</f>
        <v>PASS</v>
      </c>
      <c r="AG77" s="72">
        <f t="shared" si="95"/>
        <v>0.52678268764263703</v>
      </c>
      <c r="AH77" s="72">
        <f t="shared" si="96"/>
        <v>0</v>
      </c>
      <c r="AI77" s="72">
        <f t="shared" si="97"/>
        <v>0</v>
      </c>
      <c r="AJ77" s="72">
        <f t="shared" si="98"/>
        <v>0</v>
      </c>
      <c r="AK77" s="72" t="str">
        <f>IF(OR(AJ77="",AI77=""),"",IF(AJ77&lt;='OS-DORAEN'!$B$5,"PASS","FAIL"))</f>
        <v>PASS</v>
      </c>
      <c r="AL77" s="72" t="str">
        <f t="shared" si="99"/>
        <v/>
      </c>
      <c r="AM77" s="72" t="str">
        <f t="shared" si="100"/>
        <v/>
      </c>
      <c r="AN77" s="72" t="str">
        <f t="shared" si="101"/>
        <v/>
      </c>
      <c r="AO77" s="72" t="str">
        <f t="shared" si="102"/>
        <v>PASS</v>
      </c>
      <c r="AP77" s="72" t="str">
        <f t="shared" si="103"/>
        <v/>
      </c>
      <c r="AQ77" s="72" t="str">
        <f t="shared" si="104"/>
        <v/>
      </c>
      <c r="AR77" s="72" t="str">
        <f t="shared" si="81"/>
        <v/>
      </c>
      <c r="AS77" s="72">
        <f t="shared" si="105"/>
        <v>0</v>
      </c>
      <c r="AT77" s="72">
        <f>IF(AS77="","",IF(AS77&lt;=Lists!$J$2,Lists!$J$2,IFERROR(INDEX(Lists!$J$2:$J$28,IF(INDEX(Lists!$J$2:$J$28,MATCH(AS77,Lists!$J$2:$J$28,1))=AS77,MATCH(AS77,Lists!$J$2:$J$28,1),MATCH(AS77,Lists!$J$2:$J$28,1)+1)),"NO STANDARD CB")))</f>
        <v>16</v>
      </c>
      <c r="AU77" s="72" t="str">
        <f t="shared" si="106"/>
        <v>Manufacturer-specific adjustable trip unit</v>
      </c>
      <c r="AV77" s="72">
        <f t="shared" si="107"/>
        <v>0</v>
      </c>
      <c r="AW77" s="72" t="str">
        <f t="shared" si="108"/>
        <v>Verify manufacturer instantaneous/magnetic pickup</v>
      </c>
      <c r="AX77" s="72" t="str">
        <f t="shared" si="109"/>
        <v>VERIFY MANUFACTURER</v>
      </c>
      <c r="AY77" s="72" t="str">
        <f t="shared" si="110"/>
        <v>PASS</v>
      </c>
      <c r="AZ77" s="72" t="str">
        <f t="shared" si="111"/>
        <v>16 A MCCB; target Ir 0.0 A; manufacturer trip-unit verification required</v>
      </c>
      <c r="BA77" s="73"/>
      <c r="BB77" s="72" t="str">
        <f t="shared" si="112"/>
        <v>ENTER CB Icu/Ics</v>
      </c>
      <c r="BC77" s="72" t="str">
        <f t="shared" si="113"/>
        <v>Enter manufacturer CB Icu/Ics. Required ≥ 0.00 kA</v>
      </c>
      <c r="BD77" s="72" t="str">
        <f>IF(OR(AS77="",AT77="",AV77=""),"",IF(AND(AT77&gt;=AS77,COUNTIF(Lists!$J$2:$J$28,AT77)&gt;0,AV77&gt;=AS77,AV77&lt;=AT77),"PASS","FAIL - REVIEW MCCB FRAME/TRIP UNIT"))</f>
        <v>PASS</v>
      </c>
      <c r="BE77" s="86"/>
      <c r="BF77" s="86" t="str">
        <f t="shared" si="114"/>
        <v>XLPE</v>
      </c>
      <c r="BG77" s="86" t="str">
        <f t="shared" si="115"/>
        <v>3C</v>
      </c>
      <c r="BH77" s="86" t="str">
        <f t="shared" si="116"/>
        <v>Al</v>
      </c>
      <c r="BI77" s="86" t="str">
        <f t="shared" si="117"/>
        <v>XLPE</v>
      </c>
      <c r="BJ77" s="86" t="str">
        <f t="shared" si="118"/>
        <v>Armoured</v>
      </c>
      <c r="BK77" s="86" t="str">
        <f t="shared" si="119"/>
        <v/>
      </c>
      <c r="BL77" s="86">
        <f>IFERROR(SUMIFS('Cable Data Master'!$K:$K,'Cable Data Master'!$A:$A,$BF77,'Cable Data Master'!$B:$B,$BG77,'Cable Data Master'!$C:$C,$BH77,'Cable Data Master'!$D:$D,$BI77,'Cable Data Master'!$E:$E,$BJ77,'Cable Data Master'!$F:$F,$BK77),"")</f>
        <v>0</v>
      </c>
      <c r="BM77" s="86">
        <f>IFERROR(SUMIFS('Cable Data Master'!$L:$L,'Cable Data Master'!$A:$A,$BF77,'Cable Data Master'!$B:$B,$BG77,'Cable Data Master'!$C:$C,$BH77,'Cable Data Master'!$D:$D,$BI77,'Cable Data Master'!$E:$E,$BJ77,'Cable Data Master'!$F:$F,$BK77),"")</f>
        <v>0</v>
      </c>
      <c r="BN77" s="86">
        <f>IFERROR(SUMIFS('Cable Data Master'!$G:$G,'Cable Data Master'!$A:$A,$BF77,'Cable Data Master'!$B:$B,$BG77,'Cable Data Master'!$C:$C,$BH77,'Cable Data Master'!$D:$D,$BI77,'Cable Data Master'!$E:$E,$BJ77,'Cable Data Master'!$F:$F,$BK77),"")</f>
        <v>0</v>
      </c>
      <c r="BO77" s="86">
        <f>IFERROR(SUMIFS('Cable Data Master'!$H:$H,'Cable Data Master'!$A:$A,$BF77,'Cable Data Master'!$B:$B,$BG77,'Cable Data Master'!$C:$C,$BH77,'Cable Data Master'!$D:$D,$BI77,'Cable Data Master'!$E:$E,$BJ77,'Cable Data Master'!$F:$F,$BK77),"")</f>
        <v>0</v>
      </c>
      <c r="BP77" s="86">
        <f>IFERROR(SUMIFS('Cable Data Master'!$I:$I,'Cable Data Master'!$A:$A,$BF77,'Cable Data Master'!$B:$B,$BG77,'Cable Data Master'!$C:$C,$BH77,'Cable Data Master'!$D:$D,$BI77,'Cable Data Master'!$E:$E,$BJ77,'Cable Data Master'!$F:$F,$BK77),"")</f>
        <v>0</v>
      </c>
      <c r="BQ77" s="86">
        <f>IFERROR(SUMIFS('Cable Data Master'!$J:$J,'Cable Data Master'!$A:$A,$BF77,'Cable Data Master'!$B:$B,$BG77,'Cable Data Master'!$C:$C,$BH77,'Cable Data Master'!$D:$D,$BI77,'Cable Data Master'!$E:$E,$BJ77,'Cable Data Master'!$F:$F,$BK77),"")</f>
        <v>0</v>
      </c>
      <c r="BR77" s="86"/>
    </row>
    <row r="78" spans="1:70" s="87" customFormat="1" ht="30" customHeight="1" x14ac:dyDescent="0.35">
      <c r="A78" s="72">
        <v>75</v>
      </c>
      <c r="B78" s="73"/>
      <c r="C78" s="73"/>
      <c r="D78" s="74">
        <v>4.5</v>
      </c>
      <c r="E78" s="74"/>
      <c r="F78" s="74" t="s">
        <v>132</v>
      </c>
      <c r="G78" s="72" t="str">
        <f>IF(OR(C78="",D78="",E78="",H78="",J78="",K78="",L78="",M78="",N78="",O78="",P78="",Q78="",R78="",S78=""),"",IFERROR(LOOKUP(2,1/(('AUTO ENGINE'!$A$2:$A$1201=ROW())*('AUTO ENGINE'!$M$2:$M$1201=1)),'AUTO ENGINE'!$B$2:$B$1201),"NO CABLE PASSES"))</f>
        <v/>
      </c>
      <c r="H78" s="73" t="s">
        <v>133</v>
      </c>
      <c r="I78" s="72">
        <f t="shared" si="82"/>
        <v>0</v>
      </c>
      <c r="J78" s="73">
        <v>1</v>
      </c>
      <c r="K78" s="73">
        <v>415</v>
      </c>
      <c r="L78" s="73">
        <v>0.53</v>
      </c>
      <c r="M78" s="73">
        <v>0.85</v>
      </c>
      <c r="N78" s="73">
        <v>0.95399999999999996</v>
      </c>
      <c r="O78" s="73"/>
      <c r="P78" s="73">
        <v>1.5</v>
      </c>
      <c r="Q78" s="73">
        <v>0.3</v>
      </c>
      <c r="R78" s="72">
        <f t="shared" si="83"/>
        <v>0</v>
      </c>
      <c r="S78" s="73">
        <v>0.2</v>
      </c>
      <c r="T78" s="72">
        <f t="shared" si="84"/>
        <v>0</v>
      </c>
      <c r="U78" s="72">
        <f t="shared" si="80"/>
        <v>0</v>
      </c>
      <c r="V78" s="72">
        <f t="shared" si="85"/>
        <v>0</v>
      </c>
      <c r="W78" s="72">
        <f t="shared" si="86"/>
        <v>0</v>
      </c>
      <c r="X78" s="72">
        <f t="shared" si="87"/>
        <v>0</v>
      </c>
      <c r="Y78" s="72">
        <f t="shared" si="88"/>
        <v>0</v>
      </c>
      <c r="Z78" s="72" t="str">
        <f t="shared" si="89"/>
        <v>PASS</v>
      </c>
      <c r="AA78" s="72">
        <f t="shared" si="90"/>
        <v>0</v>
      </c>
      <c r="AB78" s="72">
        <f t="shared" si="91"/>
        <v>0.95393920141694566</v>
      </c>
      <c r="AC78" s="72">
        <f t="shared" si="92"/>
        <v>0</v>
      </c>
      <c r="AD78" s="72">
        <f t="shared" si="93"/>
        <v>0</v>
      </c>
      <c r="AE78" s="72">
        <f t="shared" si="94"/>
        <v>0</v>
      </c>
      <c r="AF78" s="72" t="str">
        <f>IF(OR(AE78="",AD78=""),"",IF(AE78&lt;='OS-DORAEN'!$B$6,"PASS","FAIL"))</f>
        <v>PASS</v>
      </c>
      <c r="AG78" s="72">
        <f t="shared" si="95"/>
        <v>0.52678268764263703</v>
      </c>
      <c r="AH78" s="72">
        <f t="shared" si="96"/>
        <v>0</v>
      </c>
      <c r="AI78" s="72">
        <f t="shared" si="97"/>
        <v>0</v>
      </c>
      <c r="AJ78" s="72">
        <f t="shared" si="98"/>
        <v>0</v>
      </c>
      <c r="AK78" s="72" t="str">
        <f>IF(OR(AJ78="",AI78=""),"",IF(AJ78&lt;='OS-DORAEN'!$B$5,"PASS","FAIL"))</f>
        <v>PASS</v>
      </c>
      <c r="AL78" s="72" t="str">
        <f t="shared" si="99"/>
        <v/>
      </c>
      <c r="AM78" s="72" t="str">
        <f t="shared" si="100"/>
        <v/>
      </c>
      <c r="AN78" s="72" t="str">
        <f t="shared" si="101"/>
        <v/>
      </c>
      <c r="AO78" s="72" t="str">
        <f t="shared" si="102"/>
        <v>PASS</v>
      </c>
      <c r="AP78" s="72" t="str">
        <f t="shared" si="103"/>
        <v/>
      </c>
      <c r="AQ78" s="72" t="str">
        <f t="shared" si="104"/>
        <v/>
      </c>
      <c r="AR78" s="72" t="str">
        <f t="shared" si="81"/>
        <v/>
      </c>
      <c r="AS78" s="72">
        <f t="shared" si="105"/>
        <v>0</v>
      </c>
      <c r="AT78" s="72">
        <f>IF(AS78="","",IF(AS78&lt;=Lists!$J$2,Lists!$J$2,IFERROR(INDEX(Lists!$J$2:$J$28,IF(INDEX(Lists!$J$2:$J$28,MATCH(AS78,Lists!$J$2:$J$28,1))=AS78,MATCH(AS78,Lists!$J$2:$J$28,1),MATCH(AS78,Lists!$J$2:$J$28,1)+1)),"NO STANDARD CB")))</f>
        <v>16</v>
      </c>
      <c r="AU78" s="72" t="str">
        <f t="shared" si="106"/>
        <v>Manufacturer-specific adjustable trip unit</v>
      </c>
      <c r="AV78" s="72">
        <f t="shared" si="107"/>
        <v>0</v>
      </c>
      <c r="AW78" s="72" t="str">
        <f t="shared" si="108"/>
        <v>Verify manufacturer instantaneous/magnetic pickup</v>
      </c>
      <c r="AX78" s="72" t="str">
        <f t="shared" si="109"/>
        <v>VERIFY MANUFACTURER</v>
      </c>
      <c r="AY78" s="72" t="str">
        <f t="shared" si="110"/>
        <v>PASS</v>
      </c>
      <c r="AZ78" s="72" t="str">
        <f t="shared" si="111"/>
        <v>16 A MCCB; target Ir 0.0 A; manufacturer trip-unit verification required</v>
      </c>
      <c r="BA78" s="73"/>
      <c r="BB78" s="72" t="str">
        <f t="shared" si="112"/>
        <v>ENTER CB Icu/Ics</v>
      </c>
      <c r="BC78" s="72" t="str">
        <f t="shared" si="113"/>
        <v>Enter manufacturer CB Icu/Ics. Required ≥ 0.00 kA</v>
      </c>
      <c r="BD78" s="72" t="str">
        <f>IF(OR(AS78="",AT78="",AV78=""),"",IF(AND(AT78&gt;=AS78,COUNTIF(Lists!$J$2:$J$28,AT78)&gt;0,AV78&gt;=AS78,AV78&lt;=AT78),"PASS","FAIL - REVIEW MCCB FRAME/TRIP UNIT"))</f>
        <v>PASS</v>
      </c>
      <c r="BE78" s="86"/>
      <c r="BF78" s="86" t="str">
        <f t="shared" si="114"/>
        <v>XLPE</v>
      </c>
      <c r="BG78" s="86" t="str">
        <f t="shared" si="115"/>
        <v>3C</v>
      </c>
      <c r="BH78" s="86" t="str">
        <f t="shared" si="116"/>
        <v>Al</v>
      </c>
      <c r="BI78" s="86" t="str">
        <f t="shared" si="117"/>
        <v>XLPE</v>
      </c>
      <c r="BJ78" s="86" t="str">
        <f t="shared" si="118"/>
        <v>Armoured</v>
      </c>
      <c r="BK78" s="86" t="str">
        <f t="shared" si="119"/>
        <v/>
      </c>
      <c r="BL78" s="86">
        <f>IFERROR(SUMIFS('Cable Data Master'!$K:$K,'Cable Data Master'!$A:$A,$BF78,'Cable Data Master'!$B:$B,$BG78,'Cable Data Master'!$C:$C,$BH78,'Cable Data Master'!$D:$D,$BI78,'Cable Data Master'!$E:$E,$BJ78,'Cable Data Master'!$F:$F,$BK78),"")</f>
        <v>0</v>
      </c>
      <c r="BM78" s="86">
        <f>IFERROR(SUMIFS('Cable Data Master'!$L:$L,'Cable Data Master'!$A:$A,$BF78,'Cable Data Master'!$B:$B,$BG78,'Cable Data Master'!$C:$C,$BH78,'Cable Data Master'!$D:$D,$BI78,'Cable Data Master'!$E:$E,$BJ78,'Cable Data Master'!$F:$F,$BK78),"")</f>
        <v>0</v>
      </c>
      <c r="BN78" s="86">
        <f>IFERROR(SUMIFS('Cable Data Master'!$G:$G,'Cable Data Master'!$A:$A,$BF78,'Cable Data Master'!$B:$B,$BG78,'Cable Data Master'!$C:$C,$BH78,'Cable Data Master'!$D:$D,$BI78,'Cable Data Master'!$E:$E,$BJ78,'Cable Data Master'!$F:$F,$BK78),"")</f>
        <v>0</v>
      </c>
      <c r="BO78" s="86">
        <f>IFERROR(SUMIFS('Cable Data Master'!$H:$H,'Cable Data Master'!$A:$A,$BF78,'Cable Data Master'!$B:$B,$BG78,'Cable Data Master'!$C:$C,$BH78,'Cable Data Master'!$D:$D,$BI78,'Cable Data Master'!$E:$E,$BJ78,'Cable Data Master'!$F:$F,$BK78),"")</f>
        <v>0</v>
      </c>
      <c r="BP78" s="86">
        <f>IFERROR(SUMIFS('Cable Data Master'!$I:$I,'Cable Data Master'!$A:$A,$BF78,'Cable Data Master'!$B:$B,$BG78,'Cable Data Master'!$C:$C,$BH78,'Cable Data Master'!$D:$D,$BI78,'Cable Data Master'!$E:$E,$BJ78,'Cable Data Master'!$F:$F,$BK78),"")</f>
        <v>0</v>
      </c>
      <c r="BQ78" s="86">
        <f>IFERROR(SUMIFS('Cable Data Master'!$J:$J,'Cable Data Master'!$A:$A,$BF78,'Cable Data Master'!$B:$B,$BG78,'Cable Data Master'!$C:$C,$BH78,'Cable Data Master'!$D:$D,$BI78,'Cable Data Master'!$E:$E,$BJ78,'Cable Data Master'!$F:$F,$BK78),"")</f>
        <v>0</v>
      </c>
      <c r="BR78" s="86"/>
    </row>
    <row r="79" spans="1:70" s="87" customFormat="1" ht="30" customHeight="1" x14ac:dyDescent="0.35">
      <c r="A79" s="72">
        <v>76</v>
      </c>
      <c r="B79" s="73"/>
      <c r="C79" s="73"/>
      <c r="D79" s="74">
        <v>4.5</v>
      </c>
      <c r="E79" s="74"/>
      <c r="F79" s="74" t="s">
        <v>132</v>
      </c>
      <c r="G79" s="72" t="str">
        <f>IF(OR(C79="",D79="",E79="",H79="",J79="",K79="",L79="",M79="",N79="",O79="",P79="",Q79="",R79="",S79=""),"",IFERROR(LOOKUP(2,1/(('AUTO ENGINE'!$A$2:$A$1201=ROW())*('AUTO ENGINE'!$M$2:$M$1201=1)),'AUTO ENGINE'!$B$2:$B$1201),"NO CABLE PASSES"))</f>
        <v/>
      </c>
      <c r="H79" s="73" t="s">
        <v>133</v>
      </c>
      <c r="I79" s="72">
        <f t="shared" si="82"/>
        <v>0</v>
      </c>
      <c r="J79" s="73">
        <v>1</v>
      </c>
      <c r="K79" s="73">
        <v>415</v>
      </c>
      <c r="L79" s="73">
        <v>0.53</v>
      </c>
      <c r="M79" s="73">
        <v>0.85</v>
      </c>
      <c r="N79" s="73">
        <v>0.95399999999999996</v>
      </c>
      <c r="O79" s="73"/>
      <c r="P79" s="73">
        <v>1.5</v>
      </c>
      <c r="Q79" s="73">
        <v>0.3</v>
      </c>
      <c r="R79" s="72">
        <f t="shared" si="83"/>
        <v>0</v>
      </c>
      <c r="S79" s="73">
        <v>0.2</v>
      </c>
      <c r="T79" s="72">
        <f t="shared" si="84"/>
        <v>0</v>
      </c>
      <c r="U79" s="72">
        <f t="shared" si="80"/>
        <v>0</v>
      </c>
      <c r="V79" s="72">
        <f t="shared" si="85"/>
        <v>0</v>
      </c>
      <c r="W79" s="72">
        <f t="shared" si="86"/>
        <v>0</v>
      </c>
      <c r="X79" s="72">
        <f t="shared" si="87"/>
        <v>0</v>
      </c>
      <c r="Y79" s="72">
        <f t="shared" si="88"/>
        <v>0</v>
      </c>
      <c r="Z79" s="72" t="str">
        <f t="shared" si="89"/>
        <v>PASS</v>
      </c>
      <c r="AA79" s="72">
        <f t="shared" si="90"/>
        <v>0</v>
      </c>
      <c r="AB79" s="72">
        <f t="shared" si="91"/>
        <v>0.95393920141694566</v>
      </c>
      <c r="AC79" s="72">
        <f t="shared" si="92"/>
        <v>0</v>
      </c>
      <c r="AD79" s="72">
        <f t="shared" si="93"/>
        <v>0</v>
      </c>
      <c r="AE79" s="72">
        <f t="shared" si="94"/>
        <v>0</v>
      </c>
      <c r="AF79" s="72" t="str">
        <f>IF(OR(AE79="",AD79=""),"",IF(AE79&lt;='OS-DORAEN'!$B$6,"PASS","FAIL"))</f>
        <v>PASS</v>
      </c>
      <c r="AG79" s="72">
        <f t="shared" si="95"/>
        <v>0.52678268764263703</v>
      </c>
      <c r="AH79" s="72">
        <f t="shared" si="96"/>
        <v>0</v>
      </c>
      <c r="AI79" s="72">
        <f t="shared" si="97"/>
        <v>0</v>
      </c>
      <c r="AJ79" s="72">
        <f t="shared" si="98"/>
        <v>0</v>
      </c>
      <c r="AK79" s="72" t="str">
        <f>IF(OR(AJ79="",AI79=""),"",IF(AJ79&lt;='OS-DORAEN'!$B$5,"PASS","FAIL"))</f>
        <v>PASS</v>
      </c>
      <c r="AL79" s="72" t="str">
        <f t="shared" si="99"/>
        <v/>
      </c>
      <c r="AM79" s="72" t="str">
        <f t="shared" si="100"/>
        <v/>
      </c>
      <c r="AN79" s="72" t="str">
        <f t="shared" si="101"/>
        <v/>
      </c>
      <c r="AO79" s="72" t="str">
        <f t="shared" si="102"/>
        <v>PASS</v>
      </c>
      <c r="AP79" s="72" t="str">
        <f t="shared" si="103"/>
        <v/>
      </c>
      <c r="AQ79" s="72" t="str">
        <f t="shared" si="104"/>
        <v/>
      </c>
      <c r="AR79" s="72" t="str">
        <f t="shared" si="81"/>
        <v/>
      </c>
      <c r="AS79" s="72">
        <f t="shared" si="105"/>
        <v>0</v>
      </c>
      <c r="AT79" s="72">
        <f>IF(AS79="","",IF(AS79&lt;=Lists!$J$2,Lists!$J$2,IFERROR(INDEX(Lists!$J$2:$J$28,IF(INDEX(Lists!$J$2:$J$28,MATCH(AS79,Lists!$J$2:$J$28,1))=AS79,MATCH(AS79,Lists!$J$2:$J$28,1),MATCH(AS79,Lists!$J$2:$J$28,1)+1)),"NO STANDARD CB")))</f>
        <v>16</v>
      </c>
      <c r="AU79" s="72" t="str">
        <f t="shared" si="106"/>
        <v>Manufacturer-specific adjustable trip unit</v>
      </c>
      <c r="AV79" s="72">
        <f t="shared" si="107"/>
        <v>0</v>
      </c>
      <c r="AW79" s="72" t="str">
        <f t="shared" si="108"/>
        <v>Verify manufacturer instantaneous/magnetic pickup</v>
      </c>
      <c r="AX79" s="72" t="str">
        <f t="shared" si="109"/>
        <v>VERIFY MANUFACTURER</v>
      </c>
      <c r="AY79" s="72" t="str">
        <f t="shared" si="110"/>
        <v>PASS</v>
      </c>
      <c r="AZ79" s="72" t="str">
        <f t="shared" si="111"/>
        <v>16 A MCCB; target Ir 0.0 A; manufacturer trip-unit verification required</v>
      </c>
      <c r="BA79" s="73"/>
      <c r="BB79" s="72" t="str">
        <f t="shared" si="112"/>
        <v>ENTER CB Icu/Ics</v>
      </c>
      <c r="BC79" s="72" t="str">
        <f t="shared" si="113"/>
        <v>Enter manufacturer CB Icu/Ics. Required ≥ 0.00 kA</v>
      </c>
      <c r="BD79" s="72" t="str">
        <f>IF(OR(AS79="",AT79="",AV79=""),"",IF(AND(AT79&gt;=AS79,COUNTIF(Lists!$J$2:$J$28,AT79)&gt;0,AV79&gt;=AS79,AV79&lt;=AT79),"PASS","FAIL - REVIEW MCCB FRAME/TRIP UNIT"))</f>
        <v>PASS</v>
      </c>
      <c r="BE79" s="86"/>
      <c r="BF79" s="86" t="str">
        <f t="shared" si="114"/>
        <v>XLPE</v>
      </c>
      <c r="BG79" s="86" t="str">
        <f t="shared" si="115"/>
        <v>3C</v>
      </c>
      <c r="BH79" s="86" t="str">
        <f t="shared" si="116"/>
        <v>Al</v>
      </c>
      <c r="BI79" s="86" t="str">
        <f t="shared" si="117"/>
        <v>XLPE</v>
      </c>
      <c r="BJ79" s="86" t="str">
        <f t="shared" si="118"/>
        <v>Armoured</v>
      </c>
      <c r="BK79" s="86" t="str">
        <f t="shared" si="119"/>
        <v/>
      </c>
      <c r="BL79" s="86">
        <f>IFERROR(SUMIFS('Cable Data Master'!$K:$K,'Cable Data Master'!$A:$A,$BF79,'Cable Data Master'!$B:$B,$BG79,'Cable Data Master'!$C:$C,$BH79,'Cable Data Master'!$D:$D,$BI79,'Cable Data Master'!$E:$E,$BJ79,'Cable Data Master'!$F:$F,$BK79),"")</f>
        <v>0</v>
      </c>
      <c r="BM79" s="86">
        <f>IFERROR(SUMIFS('Cable Data Master'!$L:$L,'Cable Data Master'!$A:$A,$BF79,'Cable Data Master'!$B:$B,$BG79,'Cable Data Master'!$C:$C,$BH79,'Cable Data Master'!$D:$D,$BI79,'Cable Data Master'!$E:$E,$BJ79,'Cable Data Master'!$F:$F,$BK79),"")</f>
        <v>0</v>
      </c>
      <c r="BN79" s="86">
        <f>IFERROR(SUMIFS('Cable Data Master'!$G:$G,'Cable Data Master'!$A:$A,$BF79,'Cable Data Master'!$B:$B,$BG79,'Cable Data Master'!$C:$C,$BH79,'Cable Data Master'!$D:$D,$BI79,'Cable Data Master'!$E:$E,$BJ79,'Cable Data Master'!$F:$F,$BK79),"")</f>
        <v>0</v>
      </c>
      <c r="BO79" s="86">
        <f>IFERROR(SUMIFS('Cable Data Master'!$H:$H,'Cable Data Master'!$A:$A,$BF79,'Cable Data Master'!$B:$B,$BG79,'Cable Data Master'!$C:$C,$BH79,'Cable Data Master'!$D:$D,$BI79,'Cable Data Master'!$E:$E,$BJ79,'Cable Data Master'!$F:$F,$BK79),"")</f>
        <v>0</v>
      </c>
      <c r="BP79" s="86">
        <f>IFERROR(SUMIFS('Cable Data Master'!$I:$I,'Cable Data Master'!$A:$A,$BF79,'Cable Data Master'!$B:$B,$BG79,'Cable Data Master'!$C:$C,$BH79,'Cable Data Master'!$D:$D,$BI79,'Cable Data Master'!$E:$E,$BJ79,'Cable Data Master'!$F:$F,$BK79),"")</f>
        <v>0</v>
      </c>
      <c r="BQ79" s="86">
        <f>IFERROR(SUMIFS('Cable Data Master'!$J:$J,'Cable Data Master'!$A:$A,$BF79,'Cable Data Master'!$B:$B,$BG79,'Cable Data Master'!$C:$C,$BH79,'Cable Data Master'!$D:$D,$BI79,'Cable Data Master'!$E:$E,$BJ79,'Cable Data Master'!$F:$F,$BK79),"")</f>
        <v>0</v>
      </c>
      <c r="BR79" s="86"/>
    </row>
    <row r="80" spans="1:70" s="87" customFormat="1" ht="30" customHeight="1" x14ac:dyDescent="0.35">
      <c r="A80" s="72">
        <v>77</v>
      </c>
      <c r="B80" s="73"/>
      <c r="C80" s="73"/>
      <c r="D80" s="74">
        <v>4.5</v>
      </c>
      <c r="E80" s="74"/>
      <c r="F80" s="74" t="s">
        <v>132</v>
      </c>
      <c r="G80" s="72" t="str">
        <f>IF(OR(C80="",D80="",E80="",H80="",J80="",K80="",L80="",M80="",N80="",O80="",P80="",Q80="",R80="",S80=""),"",IFERROR(LOOKUP(2,1/(('AUTO ENGINE'!$A$2:$A$1201=ROW())*('AUTO ENGINE'!$M$2:$M$1201=1)),'AUTO ENGINE'!$B$2:$B$1201),"NO CABLE PASSES"))</f>
        <v/>
      </c>
      <c r="H80" s="73" t="s">
        <v>133</v>
      </c>
      <c r="I80" s="72">
        <f t="shared" si="82"/>
        <v>0</v>
      </c>
      <c r="J80" s="73">
        <v>1</v>
      </c>
      <c r="K80" s="73">
        <v>415</v>
      </c>
      <c r="L80" s="73">
        <v>0.53</v>
      </c>
      <c r="M80" s="73">
        <v>0.85</v>
      </c>
      <c r="N80" s="73">
        <v>0.95399999999999996</v>
      </c>
      <c r="O80" s="73"/>
      <c r="P80" s="73">
        <v>1.5</v>
      </c>
      <c r="Q80" s="73">
        <v>0.3</v>
      </c>
      <c r="R80" s="72">
        <f t="shared" si="83"/>
        <v>0</v>
      </c>
      <c r="S80" s="73">
        <v>0.2</v>
      </c>
      <c r="T80" s="72">
        <f t="shared" si="84"/>
        <v>0</v>
      </c>
      <c r="U80" s="72">
        <f t="shared" si="80"/>
        <v>0</v>
      </c>
      <c r="V80" s="72">
        <f t="shared" si="85"/>
        <v>0</v>
      </c>
      <c r="W80" s="72">
        <f t="shared" si="86"/>
        <v>0</v>
      </c>
      <c r="X80" s="72">
        <f t="shared" si="87"/>
        <v>0</v>
      </c>
      <c r="Y80" s="72">
        <f t="shared" si="88"/>
        <v>0</v>
      </c>
      <c r="Z80" s="72" t="str">
        <f t="shared" si="89"/>
        <v>PASS</v>
      </c>
      <c r="AA80" s="72">
        <f t="shared" si="90"/>
        <v>0</v>
      </c>
      <c r="AB80" s="72">
        <f t="shared" si="91"/>
        <v>0.95393920141694566</v>
      </c>
      <c r="AC80" s="72">
        <f t="shared" si="92"/>
        <v>0</v>
      </c>
      <c r="AD80" s="72">
        <f t="shared" si="93"/>
        <v>0</v>
      </c>
      <c r="AE80" s="72">
        <f t="shared" si="94"/>
        <v>0</v>
      </c>
      <c r="AF80" s="72" t="str">
        <f>IF(OR(AE80="",AD80=""),"",IF(AE80&lt;='OS-DORAEN'!$B$6,"PASS","FAIL"))</f>
        <v>PASS</v>
      </c>
      <c r="AG80" s="72">
        <f t="shared" si="95"/>
        <v>0.52678268764263703</v>
      </c>
      <c r="AH80" s="72">
        <f t="shared" si="96"/>
        <v>0</v>
      </c>
      <c r="AI80" s="72">
        <f t="shared" si="97"/>
        <v>0</v>
      </c>
      <c r="AJ80" s="72">
        <f t="shared" si="98"/>
        <v>0</v>
      </c>
      <c r="AK80" s="72" t="str">
        <f>IF(OR(AJ80="",AI80=""),"",IF(AJ80&lt;='OS-DORAEN'!$B$5,"PASS","FAIL"))</f>
        <v>PASS</v>
      </c>
      <c r="AL80" s="72" t="str">
        <f t="shared" si="99"/>
        <v/>
      </c>
      <c r="AM80" s="72" t="str">
        <f t="shared" si="100"/>
        <v/>
      </c>
      <c r="AN80" s="72" t="str">
        <f t="shared" si="101"/>
        <v/>
      </c>
      <c r="AO80" s="72" t="str">
        <f t="shared" si="102"/>
        <v>PASS</v>
      </c>
      <c r="AP80" s="72" t="str">
        <f t="shared" si="103"/>
        <v/>
      </c>
      <c r="AQ80" s="72" t="str">
        <f t="shared" si="104"/>
        <v/>
      </c>
      <c r="AR80" s="72" t="str">
        <f t="shared" si="81"/>
        <v/>
      </c>
      <c r="AS80" s="72">
        <f t="shared" si="105"/>
        <v>0</v>
      </c>
      <c r="AT80" s="72">
        <f>IF(AS80="","",IF(AS80&lt;=Lists!$J$2,Lists!$J$2,IFERROR(INDEX(Lists!$J$2:$J$28,IF(INDEX(Lists!$J$2:$J$28,MATCH(AS80,Lists!$J$2:$J$28,1))=AS80,MATCH(AS80,Lists!$J$2:$J$28,1),MATCH(AS80,Lists!$J$2:$J$28,1)+1)),"NO STANDARD CB")))</f>
        <v>16</v>
      </c>
      <c r="AU80" s="72" t="str">
        <f t="shared" si="106"/>
        <v>Manufacturer-specific adjustable trip unit</v>
      </c>
      <c r="AV80" s="72">
        <f t="shared" si="107"/>
        <v>0</v>
      </c>
      <c r="AW80" s="72" t="str">
        <f t="shared" si="108"/>
        <v>Verify manufacturer instantaneous/magnetic pickup</v>
      </c>
      <c r="AX80" s="72" t="str">
        <f t="shared" si="109"/>
        <v>VERIFY MANUFACTURER</v>
      </c>
      <c r="AY80" s="72" t="str">
        <f t="shared" si="110"/>
        <v>PASS</v>
      </c>
      <c r="AZ80" s="72" t="str">
        <f t="shared" si="111"/>
        <v>16 A MCCB; target Ir 0.0 A; manufacturer trip-unit verification required</v>
      </c>
      <c r="BA80" s="73"/>
      <c r="BB80" s="72" t="str">
        <f t="shared" si="112"/>
        <v>ENTER CB Icu/Ics</v>
      </c>
      <c r="BC80" s="72" t="str">
        <f t="shared" si="113"/>
        <v>Enter manufacturer CB Icu/Ics. Required ≥ 0.00 kA</v>
      </c>
      <c r="BD80" s="72" t="str">
        <f>IF(OR(AS80="",AT80="",AV80=""),"",IF(AND(AT80&gt;=AS80,COUNTIF(Lists!$J$2:$J$28,AT80)&gt;0,AV80&gt;=AS80,AV80&lt;=AT80),"PASS","FAIL - REVIEW MCCB FRAME/TRIP UNIT"))</f>
        <v>PASS</v>
      </c>
      <c r="BE80" s="86"/>
      <c r="BF80" s="86" t="str">
        <f t="shared" si="114"/>
        <v>XLPE</v>
      </c>
      <c r="BG80" s="86" t="str">
        <f t="shared" si="115"/>
        <v>3C</v>
      </c>
      <c r="BH80" s="86" t="str">
        <f t="shared" si="116"/>
        <v>Al</v>
      </c>
      <c r="BI80" s="86" t="str">
        <f t="shared" si="117"/>
        <v>XLPE</v>
      </c>
      <c r="BJ80" s="86" t="str">
        <f t="shared" si="118"/>
        <v>Armoured</v>
      </c>
      <c r="BK80" s="86" t="str">
        <f t="shared" si="119"/>
        <v/>
      </c>
      <c r="BL80" s="86">
        <f>IFERROR(SUMIFS('Cable Data Master'!$K:$K,'Cable Data Master'!$A:$A,$BF80,'Cable Data Master'!$B:$B,$BG80,'Cable Data Master'!$C:$C,$BH80,'Cable Data Master'!$D:$D,$BI80,'Cable Data Master'!$E:$E,$BJ80,'Cable Data Master'!$F:$F,$BK80),"")</f>
        <v>0</v>
      </c>
      <c r="BM80" s="86">
        <f>IFERROR(SUMIFS('Cable Data Master'!$L:$L,'Cable Data Master'!$A:$A,$BF80,'Cable Data Master'!$B:$B,$BG80,'Cable Data Master'!$C:$C,$BH80,'Cable Data Master'!$D:$D,$BI80,'Cable Data Master'!$E:$E,$BJ80,'Cable Data Master'!$F:$F,$BK80),"")</f>
        <v>0</v>
      </c>
      <c r="BN80" s="86">
        <f>IFERROR(SUMIFS('Cable Data Master'!$G:$G,'Cable Data Master'!$A:$A,$BF80,'Cable Data Master'!$B:$B,$BG80,'Cable Data Master'!$C:$C,$BH80,'Cable Data Master'!$D:$D,$BI80,'Cable Data Master'!$E:$E,$BJ80,'Cable Data Master'!$F:$F,$BK80),"")</f>
        <v>0</v>
      </c>
      <c r="BO80" s="86">
        <f>IFERROR(SUMIFS('Cable Data Master'!$H:$H,'Cable Data Master'!$A:$A,$BF80,'Cable Data Master'!$B:$B,$BG80,'Cable Data Master'!$C:$C,$BH80,'Cable Data Master'!$D:$D,$BI80,'Cable Data Master'!$E:$E,$BJ80,'Cable Data Master'!$F:$F,$BK80),"")</f>
        <v>0</v>
      </c>
      <c r="BP80" s="86">
        <f>IFERROR(SUMIFS('Cable Data Master'!$I:$I,'Cable Data Master'!$A:$A,$BF80,'Cable Data Master'!$B:$B,$BG80,'Cable Data Master'!$C:$C,$BH80,'Cable Data Master'!$D:$D,$BI80,'Cable Data Master'!$E:$E,$BJ80,'Cable Data Master'!$F:$F,$BK80),"")</f>
        <v>0</v>
      </c>
      <c r="BQ80" s="86">
        <f>IFERROR(SUMIFS('Cable Data Master'!$J:$J,'Cable Data Master'!$A:$A,$BF80,'Cable Data Master'!$B:$B,$BG80,'Cable Data Master'!$C:$C,$BH80,'Cable Data Master'!$D:$D,$BI80,'Cable Data Master'!$E:$E,$BJ80,'Cable Data Master'!$F:$F,$BK80),"")</f>
        <v>0</v>
      </c>
      <c r="BR80" s="86"/>
    </row>
    <row r="81" spans="1:70" s="87" customFormat="1" ht="30" customHeight="1" x14ac:dyDescent="0.35">
      <c r="A81" s="72">
        <v>78</v>
      </c>
      <c r="B81" s="73"/>
      <c r="C81" s="73"/>
      <c r="D81" s="74">
        <v>4.5</v>
      </c>
      <c r="E81" s="74"/>
      <c r="F81" s="74" t="s">
        <v>132</v>
      </c>
      <c r="G81" s="72" t="str">
        <f>IF(OR(C81="",D81="",E81="",H81="",J81="",K81="",L81="",M81="",N81="",O81="",P81="",Q81="",R81="",S81=""),"",IFERROR(LOOKUP(2,1/(('AUTO ENGINE'!$A$2:$A$1201=ROW())*('AUTO ENGINE'!$M$2:$M$1201=1)),'AUTO ENGINE'!$B$2:$B$1201),"NO CABLE PASSES"))</f>
        <v/>
      </c>
      <c r="H81" s="73" t="s">
        <v>133</v>
      </c>
      <c r="I81" s="72">
        <f t="shared" si="82"/>
        <v>0</v>
      </c>
      <c r="J81" s="73">
        <v>1</v>
      </c>
      <c r="K81" s="73">
        <v>415</v>
      </c>
      <c r="L81" s="73">
        <v>0.53</v>
      </c>
      <c r="M81" s="73">
        <v>0.85</v>
      </c>
      <c r="N81" s="73">
        <v>0.95399999999999996</v>
      </c>
      <c r="O81" s="73"/>
      <c r="P81" s="73">
        <v>1.5</v>
      </c>
      <c r="Q81" s="73">
        <v>0.3</v>
      </c>
      <c r="R81" s="72">
        <f t="shared" si="83"/>
        <v>0</v>
      </c>
      <c r="S81" s="73">
        <v>0.2</v>
      </c>
      <c r="T81" s="72">
        <f t="shared" si="84"/>
        <v>0</v>
      </c>
      <c r="U81" s="72">
        <f t="shared" ref="U81:U103" si="120">IFERROR(E81*1000/(SQRT(3)*K81*M81*N81),"")</f>
        <v>0</v>
      </c>
      <c r="V81" s="72">
        <f t="shared" si="85"/>
        <v>0</v>
      </c>
      <c r="W81" s="72">
        <f t="shared" si="86"/>
        <v>0</v>
      </c>
      <c r="X81" s="72">
        <f t="shared" si="87"/>
        <v>0</v>
      </c>
      <c r="Y81" s="72">
        <f t="shared" si="88"/>
        <v>0</v>
      </c>
      <c r="Z81" s="72" t="str">
        <f t="shared" si="89"/>
        <v>PASS</v>
      </c>
      <c r="AA81" s="72">
        <f t="shared" si="90"/>
        <v>0</v>
      </c>
      <c r="AB81" s="72">
        <f t="shared" si="91"/>
        <v>0.95393920141694566</v>
      </c>
      <c r="AC81" s="72">
        <f t="shared" si="92"/>
        <v>0</v>
      </c>
      <c r="AD81" s="72">
        <f t="shared" si="93"/>
        <v>0</v>
      </c>
      <c r="AE81" s="72">
        <f t="shared" si="94"/>
        <v>0</v>
      </c>
      <c r="AF81" s="72" t="str">
        <f>IF(OR(AE81="",AD81=""),"",IF(AE81&lt;='OS-DORAEN'!$B$6,"PASS","FAIL"))</f>
        <v>PASS</v>
      </c>
      <c r="AG81" s="72">
        <f t="shared" si="95"/>
        <v>0.52678268764263703</v>
      </c>
      <c r="AH81" s="72">
        <f t="shared" si="96"/>
        <v>0</v>
      </c>
      <c r="AI81" s="72">
        <f t="shared" si="97"/>
        <v>0</v>
      </c>
      <c r="AJ81" s="72">
        <f t="shared" si="98"/>
        <v>0</v>
      </c>
      <c r="AK81" s="72" t="str">
        <f>IF(OR(AJ81="",AI81=""),"",IF(AJ81&lt;='OS-DORAEN'!$B$5,"PASS","FAIL"))</f>
        <v>PASS</v>
      </c>
      <c r="AL81" s="72" t="str">
        <f t="shared" si="99"/>
        <v/>
      </c>
      <c r="AM81" s="72" t="str">
        <f t="shared" si="100"/>
        <v/>
      </c>
      <c r="AN81" s="72" t="str">
        <f t="shared" si="101"/>
        <v/>
      </c>
      <c r="AO81" s="72" t="str">
        <f t="shared" si="102"/>
        <v>PASS</v>
      </c>
      <c r="AP81" s="72" t="str">
        <f t="shared" si="103"/>
        <v/>
      </c>
      <c r="AQ81" s="72" t="str">
        <f t="shared" si="104"/>
        <v/>
      </c>
      <c r="AR81" s="72" t="str">
        <f t="shared" ref="AR81:AR103" si="121">IF(OR(B81="",E81=""),"","MCCB")</f>
        <v/>
      </c>
      <c r="AS81" s="72">
        <f t="shared" si="105"/>
        <v>0</v>
      </c>
      <c r="AT81" s="72">
        <f>IF(AS81="","",IF(AS81&lt;=Lists!$J$2,Lists!$J$2,IFERROR(INDEX(Lists!$J$2:$J$28,IF(INDEX(Lists!$J$2:$J$28,MATCH(AS81,Lists!$J$2:$J$28,1))=AS81,MATCH(AS81,Lists!$J$2:$J$28,1),MATCH(AS81,Lists!$J$2:$J$28,1)+1)),"NO STANDARD CB")))</f>
        <v>16</v>
      </c>
      <c r="AU81" s="72" t="str">
        <f t="shared" si="106"/>
        <v>Manufacturer-specific adjustable trip unit</v>
      </c>
      <c r="AV81" s="72">
        <f t="shared" si="107"/>
        <v>0</v>
      </c>
      <c r="AW81" s="72" t="str">
        <f t="shared" si="108"/>
        <v>Verify manufacturer instantaneous/magnetic pickup</v>
      </c>
      <c r="AX81" s="72" t="str">
        <f t="shared" si="109"/>
        <v>VERIFY MANUFACTURER</v>
      </c>
      <c r="AY81" s="72" t="str">
        <f t="shared" si="110"/>
        <v>PASS</v>
      </c>
      <c r="AZ81" s="72" t="str">
        <f t="shared" si="111"/>
        <v>16 A MCCB; target Ir 0.0 A; manufacturer trip-unit verification required</v>
      </c>
      <c r="BA81" s="73"/>
      <c r="BB81" s="72" t="str">
        <f t="shared" si="112"/>
        <v>ENTER CB Icu/Ics</v>
      </c>
      <c r="BC81" s="72" t="str">
        <f t="shared" si="113"/>
        <v>Enter manufacturer CB Icu/Ics. Required ≥ 0.00 kA</v>
      </c>
      <c r="BD81" s="72" t="str">
        <f>IF(OR(AS81="",AT81="",AV81=""),"",IF(AND(AT81&gt;=AS81,COUNTIF(Lists!$J$2:$J$28,AT81)&gt;0,AV81&gt;=AS81,AV81&lt;=AT81),"PASS","FAIL - REVIEW MCCB FRAME/TRIP UNIT"))</f>
        <v>PASS</v>
      </c>
      <c r="BE81" s="86"/>
      <c r="BF81" s="86" t="str">
        <f t="shared" si="114"/>
        <v>XLPE</v>
      </c>
      <c r="BG81" s="86" t="str">
        <f t="shared" si="115"/>
        <v>3C</v>
      </c>
      <c r="BH81" s="86" t="str">
        <f t="shared" si="116"/>
        <v>Al</v>
      </c>
      <c r="BI81" s="86" t="str">
        <f t="shared" si="117"/>
        <v>XLPE</v>
      </c>
      <c r="BJ81" s="86" t="str">
        <f t="shared" si="118"/>
        <v>Armoured</v>
      </c>
      <c r="BK81" s="86" t="str">
        <f t="shared" si="119"/>
        <v/>
      </c>
      <c r="BL81" s="86">
        <f>IFERROR(SUMIFS('Cable Data Master'!$K:$K,'Cable Data Master'!$A:$A,$BF81,'Cable Data Master'!$B:$B,$BG81,'Cable Data Master'!$C:$C,$BH81,'Cable Data Master'!$D:$D,$BI81,'Cable Data Master'!$E:$E,$BJ81,'Cable Data Master'!$F:$F,$BK81),"")</f>
        <v>0</v>
      </c>
      <c r="BM81" s="86">
        <f>IFERROR(SUMIFS('Cable Data Master'!$L:$L,'Cable Data Master'!$A:$A,$BF81,'Cable Data Master'!$B:$B,$BG81,'Cable Data Master'!$C:$C,$BH81,'Cable Data Master'!$D:$D,$BI81,'Cable Data Master'!$E:$E,$BJ81,'Cable Data Master'!$F:$F,$BK81),"")</f>
        <v>0</v>
      </c>
      <c r="BN81" s="86">
        <f>IFERROR(SUMIFS('Cable Data Master'!$G:$G,'Cable Data Master'!$A:$A,$BF81,'Cable Data Master'!$B:$B,$BG81,'Cable Data Master'!$C:$C,$BH81,'Cable Data Master'!$D:$D,$BI81,'Cable Data Master'!$E:$E,$BJ81,'Cable Data Master'!$F:$F,$BK81),"")</f>
        <v>0</v>
      </c>
      <c r="BO81" s="86">
        <f>IFERROR(SUMIFS('Cable Data Master'!$H:$H,'Cable Data Master'!$A:$A,$BF81,'Cable Data Master'!$B:$B,$BG81,'Cable Data Master'!$C:$C,$BH81,'Cable Data Master'!$D:$D,$BI81,'Cable Data Master'!$E:$E,$BJ81,'Cable Data Master'!$F:$F,$BK81),"")</f>
        <v>0</v>
      </c>
      <c r="BP81" s="86">
        <f>IFERROR(SUMIFS('Cable Data Master'!$I:$I,'Cable Data Master'!$A:$A,$BF81,'Cable Data Master'!$B:$B,$BG81,'Cable Data Master'!$C:$C,$BH81,'Cable Data Master'!$D:$D,$BI81,'Cable Data Master'!$E:$E,$BJ81,'Cable Data Master'!$F:$F,$BK81),"")</f>
        <v>0</v>
      </c>
      <c r="BQ81" s="86">
        <f>IFERROR(SUMIFS('Cable Data Master'!$J:$J,'Cable Data Master'!$A:$A,$BF81,'Cable Data Master'!$B:$B,$BG81,'Cable Data Master'!$C:$C,$BH81,'Cable Data Master'!$D:$D,$BI81,'Cable Data Master'!$E:$E,$BJ81,'Cable Data Master'!$F:$F,$BK81),"")</f>
        <v>0</v>
      </c>
      <c r="BR81" s="86"/>
    </row>
    <row r="82" spans="1:70" s="87" customFormat="1" ht="30" customHeight="1" x14ac:dyDescent="0.35">
      <c r="A82" s="72">
        <v>79</v>
      </c>
      <c r="B82" s="73"/>
      <c r="C82" s="73"/>
      <c r="D82" s="74">
        <v>4.5</v>
      </c>
      <c r="E82" s="74"/>
      <c r="F82" s="74" t="s">
        <v>132</v>
      </c>
      <c r="G82" s="72" t="str">
        <f>IF(OR(C82="",D82="",E82="",H82="",J82="",K82="",L82="",M82="",N82="",O82="",P82="",Q82="",R82="",S82=""),"",IFERROR(LOOKUP(2,1/(('AUTO ENGINE'!$A$2:$A$1201=ROW())*('AUTO ENGINE'!$M$2:$M$1201=1)),'AUTO ENGINE'!$B$2:$B$1201),"NO CABLE PASSES"))</f>
        <v/>
      </c>
      <c r="H82" s="73" t="s">
        <v>133</v>
      </c>
      <c r="I82" s="72">
        <f t="shared" si="82"/>
        <v>0</v>
      </c>
      <c r="J82" s="73">
        <v>1</v>
      </c>
      <c r="K82" s="73">
        <v>415</v>
      </c>
      <c r="L82" s="73">
        <v>0.53</v>
      </c>
      <c r="M82" s="73">
        <v>0.85</v>
      </c>
      <c r="N82" s="73">
        <v>0.95399999999999996</v>
      </c>
      <c r="O82" s="73"/>
      <c r="P82" s="73">
        <v>1.5</v>
      </c>
      <c r="Q82" s="73">
        <v>0.3</v>
      </c>
      <c r="R82" s="72">
        <f t="shared" si="83"/>
        <v>0</v>
      </c>
      <c r="S82" s="73">
        <v>0.2</v>
      </c>
      <c r="T82" s="72">
        <f t="shared" si="84"/>
        <v>0</v>
      </c>
      <c r="U82" s="72">
        <f t="shared" si="120"/>
        <v>0</v>
      </c>
      <c r="V82" s="72">
        <f t="shared" si="85"/>
        <v>0</v>
      </c>
      <c r="W82" s="72">
        <f t="shared" si="86"/>
        <v>0</v>
      </c>
      <c r="X82" s="72">
        <f t="shared" si="87"/>
        <v>0</v>
      </c>
      <c r="Y82" s="72">
        <f t="shared" si="88"/>
        <v>0</v>
      </c>
      <c r="Z82" s="72" t="str">
        <f t="shared" si="89"/>
        <v>PASS</v>
      </c>
      <c r="AA82" s="72">
        <f t="shared" si="90"/>
        <v>0</v>
      </c>
      <c r="AB82" s="72">
        <f t="shared" si="91"/>
        <v>0.95393920141694566</v>
      </c>
      <c r="AC82" s="72">
        <f t="shared" si="92"/>
        <v>0</v>
      </c>
      <c r="AD82" s="72">
        <f t="shared" si="93"/>
        <v>0</v>
      </c>
      <c r="AE82" s="72">
        <f t="shared" si="94"/>
        <v>0</v>
      </c>
      <c r="AF82" s="72" t="str">
        <f>IF(OR(AE82="",AD82=""),"",IF(AE82&lt;='OS-DORAEN'!$B$6,"PASS","FAIL"))</f>
        <v>PASS</v>
      </c>
      <c r="AG82" s="72">
        <f t="shared" si="95"/>
        <v>0.52678268764263703</v>
      </c>
      <c r="AH82" s="72">
        <f t="shared" si="96"/>
        <v>0</v>
      </c>
      <c r="AI82" s="72">
        <f t="shared" si="97"/>
        <v>0</v>
      </c>
      <c r="AJ82" s="72">
        <f t="shared" si="98"/>
        <v>0</v>
      </c>
      <c r="AK82" s="72" t="str">
        <f>IF(OR(AJ82="",AI82=""),"",IF(AJ82&lt;='OS-DORAEN'!$B$5,"PASS","FAIL"))</f>
        <v>PASS</v>
      </c>
      <c r="AL82" s="72" t="str">
        <f t="shared" si="99"/>
        <v/>
      </c>
      <c r="AM82" s="72" t="str">
        <f t="shared" si="100"/>
        <v/>
      </c>
      <c r="AN82" s="72" t="str">
        <f t="shared" si="101"/>
        <v/>
      </c>
      <c r="AO82" s="72" t="str">
        <f t="shared" si="102"/>
        <v>PASS</v>
      </c>
      <c r="AP82" s="72" t="str">
        <f t="shared" si="103"/>
        <v/>
      </c>
      <c r="AQ82" s="72" t="str">
        <f t="shared" si="104"/>
        <v/>
      </c>
      <c r="AR82" s="72" t="str">
        <f t="shared" si="121"/>
        <v/>
      </c>
      <c r="AS82" s="72">
        <f t="shared" si="105"/>
        <v>0</v>
      </c>
      <c r="AT82" s="72">
        <f>IF(AS82="","",IF(AS82&lt;=Lists!$J$2,Lists!$J$2,IFERROR(INDEX(Lists!$J$2:$J$28,IF(INDEX(Lists!$J$2:$J$28,MATCH(AS82,Lists!$J$2:$J$28,1))=AS82,MATCH(AS82,Lists!$J$2:$J$28,1),MATCH(AS82,Lists!$J$2:$J$28,1)+1)),"NO STANDARD CB")))</f>
        <v>16</v>
      </c>
      <c r="AU82" s="72" t="str">
        <f t="shared" si="106"/>
        <v>Manufacturer-specific adjustable trip unit</v>
      </c>
      <c r="AV82" s="72">
        <f t="shared" si="107"/>
        <v>0</v>
      </c>
      <c r="AW82" s="72" t="str">
        <f t="shared" si="108"/>
        <v>Verify manufacturer instantaneous/magnetic pickup</v>
      </c>
      <c r="AX82" s="72" t="str">
        <f t="shared" si="109"/>
        <v>VERIFY MANUFACTURER</v>
      </c>
      <c r="AY82" s="72" t="str">
        <f t="shared" si="110"/>
        <v>PASS</v>
      </c>
      <c r="AZ82" s="72" t="str">
        <f t="shared" si="111"/>
        <v>16 A MCCB; target Ir 0.0 A; manufacturer trip-unit verification required</v>
      </c>
      <c r="BA82" s="73"/>
      <c r="BB82" s="72" t="str">
        <f t="shared" si="112"/>
        <v>ENTER CB Icu/Ics</v>
      </c>
      <c r="BC82" s="72" t="str">
        <f t="shared" si="113"/>
        <v>Enter manufacturer CB Icu/Ics. Required ≥ 0.00 kA</v>
      </c>
      <c r="BD82" s="72" t="str">
        <f>IF(OR(AS82="",AT82="",AV82=""),"",IF(AND(AT82&gt;=AS82,COUNTIF(Lists!$J$2:$J$28,AT82)&gt;0,AV82&gt;=AS82,AV82&lt;=AT82),"PASS","FAIL - REVIEW MCCB FRAME/TRIP UNIT"))</f>
        <v>PASS</v>
      </c>
      <c r="BE82" s="86"/>
      <c r="BF82" s="86" t="str">
        <f t="shared" si="114"/>
        <v>XLPE</v>
      </c>
      <c r="BG82" s="86" t="str">
        <f t="shared" si="115"/>
        <v>3C</v>
      </c>
      <c r="BH82" s="86" t="str">
        <f t="shared" si="116"/>
        <v>Al</v>
      </c>
      <c r="BI82" s="86" t="str">
        <f t="shared" si="117"/>
        <v>XLPE</v>
      </c>
      <c r="BJ82" s="86" t="str">
        <f t="shared" si="118"/>
        <v>Armoured</v>
      </c>
      <c r="BK82" s="86" t="str">
        <f t="shared" si="119"/>
        <v/>
      </c>
      <c r="BL82" s="86">
        <f>IFERROR(SUMIFS('Cable Data Master'!$K:$K,'Cable Data Master'!$A:$A,$BF82,'Cable Data Master'!$B:$B,$BG82,'Cable Data Master'!$C:$C,$BH82,'Cable Data Master'!$D:$D,$BI82,'Cable Data Master'!$E:$E,$BJ82,'Cable Data Master'!$F:$F,$BK82),"")</f>
        <v>0</v>
      </c>
      <c r="BM82" s="86">
        <f>IFERROR(SUMIFS('Cable Data Master'!$L:$L,'Cable Data Master'!$A:$A,$BF82,'Cable Data Master'!$B:$B,$BG82,'Cable Data Master'!$C:$C,$BH82,'Cable Data Master'!$D:$D,$BI82,'Cable Data Master'!$E:$E,$BJ82,'Cable Data Master'!$F:$F,$BK82),"")</f>
        <v>0</v>
      </c>
      <c r="BN82" s="86">
        <f>IFERROR(SUMIFS('Cable Data Master'!$G:$G,'Cable Data Master'!$A:$A,$BF82,'Cable Data Master'!$B:$B,$BG82,'Cable Data Master'!$C:$C,$BH82,'Cable Data Master'!$D:$D,$BI82,'Cable Data Master'!$E:$E,$BJ82,'Cable Data Master'!$F:$F,$BK82),"")</f>
        <v>0</v>
      </c>
      <c r="BO82" s="86">
        <f>IFERROR(SUMIFS('Cable Data Master'!$H:$H,'Cable Data Master'!$A:$A,$BF82,'Cable Data Master'!$B:$B,$BG82,'Cable Data Master'!$C:$C,$BH82,'Cable Data Master'!$D:$D,$BI82,'Cable Data Master'!$E:$E,$BJ82,'Cable Data Master'!$F:$F,$BK82),"")</f>
        <v>0</v>
      </c>
      <c r="BP82" s="86">
        <f>IFERROR(SUMIFS('Cable Data Master'!$I:$I,'Cable Data Master'!$A:$A,$BF82,'Cable Data Master'!$B:$B,$BG82,'Cable Data Master'!$C:$C,$BH82,'Cable Data Master'!$D:$D,$BI82,'Cable Data Master'!$E:$E,$BJ82,'Cable Data Master'!$F:$F,$BK82),"")</f>
        <v>0</v>
      </c>
      <c r="BQ82" s="86">
        <f>IFERROR(SUMIFS('Cable Data Master'!$J:$J,'Cable Data Master'!$A:$A,$BF82,'Cable Data Master'!$B:$B,$BG82,'Cable Data Master'!$C:$C,$BH82,'Cable Data Master'!$D:$D,$BI82,'Cable Data Master'!$E:$E,$BJ82,'Cable Data Master'!$F:$F,$BK82),"")</f>
        <v>0</v>
      </c>
      <c r="BR82" s="86"/>
    </row>
    <row r="83" spans="1:70" s="87" customFormat="1" ht="30" customHeight="1" x14ac:dyDescent="0.35">
      <c r="A83" s="72">
        <v>80</v>
      </c>
      <c r="B83" s="73"/>
      <c r="C83" s="73"/>
      <c r="D83" s="74">
        <v>4.5</v>
      </c>
      <c r="E83" s="74"/>
      <c r="F83" s="74" t="s">
        <v>132</v>
      </c>
      <c r="G83" s="72" t="str">
        <f>IF(OR(C83="",D83="",E83="",H83="",J83="",K83="",L83="",M83="",N83="",O83="",P83="",Q83="",R83="",S83=""),"",IFERROR(LOOKUP(2,1/(('AUTO ENGINE'!$A$2:$A$1201=ROW())*('AUTO ENGINE'!$M$2:$M$1201=1)),'AUTO ENGINE'!$B$2:$B$1201),"NO CABLE PASSES"))</f>
        <v/>
      </c>
      <c r="H83" s="73" t="s">
        <v>133</v>
      </c>
      <c r="I83" s="72">
        <f t="shared" si="82"/>
        <v>0</v>
      </c>
      <c r="J83" s="73">
        <v>1</v>
      </c>
      <c r="K83" s="73">
        <v>415</v>
      </c>
      <c r="L83" s="73">
        <v>0.53</v>
      </c>
      <c r="M83" s="73">
        <v>0.85</v>
      </c>
      <c r="N83" s="73">
        <v>0.95399999999999996</v>
      </c>
      <c r="O83" s="73"/>
      <c r="P83" s="73">
        <v>1.5</v>
      </c>
      <c r="Q83" s="73">
        <v>0.3</v>
      </c>
      <c r="R83" s="72">
        <f t="shared" si="83"/>
        <v>0</v>
      </c>
      <c r="S83" s="73">
        <v>0.2</v>
      </c>
      <c r="T83" s="72">
        <f t="shared" si="84"/>
        <v>0</v>
      </c>
      <c r="U83" s="72">
        <f t="shared" si="120"/>
        <v>0</v>
      </c>
      <c r="V83" s="72">
        <f t="shared" si="85"/>
        <v>0</v>
      </c>
      <c r="W83" s="72">
        <f t="shared" si="86"/>
        <v>0</v>
      </c>
      <c r="X83" s="72">
        <f t="shared" si="87"/>
        <v>0</v>
      </c>
      <c r="Y83" s="72">
        <f t="shared" si="88"/>
        <v>0</v>
      </c>
      <c r="Z83" s="72" t="str">
        <f t="shared" si="89"/>
        <v>PASS</v>
      </c>
      <c r="AA83" s="72">
        <f t="shared" si="90"/>
        <v>0</v>
      </c>
      <c r="AB83" s="72">
        <f t="shared" si="91"/>
        <v>0.95393920141694566</v>
      </c>
      <c r="AC83" s="72">
        <f t="shared" si="92"/>
        <v>0</v>
      </c>
      <c r="AD83" s="72">
        <f t="shared" si="93"/>
        <v>0</v>
      </c>
      <c r="AE83" s="72">
        <f t="shared" si="94"/>
        <v>0</v>
      </c>
      <c r="AF83" s="72" t="str">
        <f>IF(OR(AE83="",AD83=""),"",IF(AE83&lt;='OS-DORAEN'!$B$6,"PASS","FAIL"))</f>
        <v>PASS</v>
      </c>
      <c r="AG83" s="72">
        <f t="shared" si="95"/>
        <v>0.52678268764263703</v>
      </c>
      <c r="AH83" s="72">
        <f t="shared" si="96"/>
        <v>0</v>
      </c>
      <c r="AI83" s="72">
        <f t="shared" si="97"/>
        <v>0</v>
      </c>
      <c r="AJ83" s="72">
        <f t="shared" si="98"/>
        <v>0</v>
      </c>
      <c r="AK83" s="72" t="str">
        <f>IF(OR(AJ83="",AI83=""),"",IF(AJ83&lt;='OS-DORAEN'!$B$5,"PASS","FAIL"))</f>
        <v>PASS</v>
      </c>
      <c r="AL83" s="72" t="str">
        <f t="shared" si="99"/>
        <v/>
      </c>
      <c r="AM83" s="72" t="str">
        <f t="shared" si="100"/>
        <v/>
      </c>
      <c r="AN83" s="72" t="str">
        <f t="shared" si="101"/>
        <v/>
      </c>
      <c r="AO83" s="72" t="str">
        <f t="shared" si="102"/>
        <v>PASS</v>
      </c>
      <c r="AP83" s="72" t="str">
        <f t="shared" si="103"/>
        <v/>
      </c>
      <c r="AQ83" s="72" t="str">
        <f t="shared" si="104"/>
        <v/>
      </c>
      <c r="AR83" s="72" t="str">
        <f t="shared" si="121"/>
        <v/>
      </c>
      <c r="AS83" s="72">
        <f t="shared" si="105"/>
        <v>0</v>
      </c>
      <c r="AT83" s="72">
        <f>IF(AS83="","",IF(AS83&lt;=Lists!$J$2,Lists!$J$2,IFERROR(INDEX(Lists!$J$2:$J$28,IF(INDEX(Lists!$J$2:$J$28,MATCH(AS83,Lists!$J$2:$J$28,1))=AS83,MATCH(AS83,Lists!$J$2:$J$28,1),MATCH(AS83,Lists!$J$2:$J$28,1)+1)),"NO STANDARD CB")))</f>
        <v>16</v>
      </c>
      <c r="AU83" s="72" t="str">
        <f t="shared" si="106"/>
        <v>Manufacturer-specific adjustable trip unit</v>
      </c>
      <c r="AV83" s="72">
        <f t="shared" si="107"/>
        <v>0</v>
      </c>
      <c r="AW83" s="72" t="str">
        <f t="shared" si="108"/>
        <v>Verify manufacturer instantaneous/magnetic pickup</v>
      </c>
      <c r="AX83" s="72" t="str">
        <f t="shared" si="109"/>
        <v>VERIFY MANUFACTURER</v>
      </c>
      <c r="AY83" s="72" t="str">
        <f t="shared" si="110"/>
        <v>PASS</v>
      </c>
      <c r="AZ83" s="72" t="str">
        <f t="shared" si="111"/>
        <v>16 A MCCB; target Ir 0.0 A; manufacturer trip-unit verification required</v>
      </c>
      <c r="BA83" s="73"/>
      <c r="BB83" s="72" t="str">
        <f t="shared" si="112"/>
        <v>ENTER CB Icu/Ics</v>
      </c>
      <c r="BC83" s="72" t="str">
        <f t="shared" si="113"/>
        <v>Enter manufacturer CB Icu/Ics. Required ≥ 0.00 kA</v>
      </c>
      <c r="BD83" s="72" t="str">
        <f>IF(OR(AS83="",AT83="",AV83=""),"",IF(AND(AT83&gt;=AS83,COUNTIF(Lists!$J$2:$J$28,AT83)&gt;0,AV83&gt;=AS83,AV83&lt;=AT83),"PASS","FAIL - REVIEW MCCB FRAME/TRIP UNIT"))</f>
        <v>PASS</v>
      </c>
      <c r="BE83" s="86"/>
      <c r="BF83" s="86" t="str">
        <f t="shared" si="114"/>
        <v>XLPE</v>
      </c>
      <c r="BG83" s="86" t="str">
        <f t="shared" si="115"/>
        <v>3C</v>
      </c>
      <c r="BH83" s="86" t="str">
        <f t="shared" si="116"/>
        <v>Al</v>
      </c>
      <c r="BI83" s="86" t="str">
        <f t="shared" si="117"/>
        <v>XLPE</v>
      </c>
      <c r="BJ83" s="86" t="str">
        <f t="shared" si="118"/>
        <v>Armoured</v>
      </c>
      <c r="BK83" s="86" t="str">
        <f t="shared" si="119"/>
        <v/>
      </c>
      <c r="BL83" s="86">
        <f>IFERROR(SUMIFS('Cable Data Master'!$K:$K,'Cable Data Master'!$A:$A,$BF83,'Cable Data Master'!$B:$B,$BG83,'Cable Data Master'!$C:$C,$BH83,'Cable Data Master'!$D:$D,$BI83,'Cable Data Master'!$E:$E,$BJ83,'Cable Data Master'!$F:$F,$BK83),"")</f>
        <v>0</v>
      </c>
      <c r="BM83" s="86">
        <f>IFERROR(SUMIFS('Cable Data Master'!$L:$L,'Cable Data Master'!$A:$A,$BF83,'Cable Data Master'!$B:$B,$BG83,'Cable Data Master'!$C:$C,$BH83,'Cable Data Master'!$D:$D,$BI83,'Cable Data Master'!$E:$E,$BJ83,'Cable Data Master'!$F:$F,$BK83),"")</f>
        <v>0</v>
      </c>
      <c r="BN83" s="86">
        <f>IFERROR(SUMIFS('Cable Data Master'!$G:$G,'Cable Data Master'!$A:$A,$BF83,'Cable Data Master'!$B:$B,$BG83,'Cable Data Master'!$C:$C,$BH83,'Cable Data Master'!$D:$D,$BI83,'Cable Data Master'!$E:$E,$BJ83,'Cable Data Master'!$F:$F,$BK83),"")</f>
        <v>0</v>
      </c>
      <c r="BO83" s="86">
        <f>IFERROR(SUMIFS('Cable Data Master'!$H:$H,'Cable Data Master'!$A:$A,$BF83,'Cable Data Master'!$B:$B,$BG83,'Cable Data Master'!$C:$C,$BH83,'Cable Data Master'!$D:$D,$BI83,'Cable Data Master'!$E:$E,$BJ83,'Cable Data Master'!$F:$F,$BK83),"")</f>
        <v>0</v>
      </c>
      <c r="BP83" s="86">
        <f>IFERROR(SUMIFS('Cable Data Master'!$I:$I,'Cable Data Master'!$A:$A,$BF83,'Cable Data Master'!$B:$B,$BG83,'Cable Data Master'!$C:$C,$BH83,'Cable Data Master'!$D:$D,$BI83,'Cable Data Master'!$E:$E,$BJ83,'Cable Data Master'!$F:$F,$BK83),"")</f>
        <v>0</v>
      </c>
      <c r="BQ83" s="86">
        <f>IFERROR(SUMIFS('Cable Data Master'!$J:$J,'Cable Data Master'!$A:$A,$BF83,'Cable Data Master'!$B:$B,$BG83,'Cable Data Master'!$C:$C,$BH83,'Cable Data Master'!$D:$D,$BI83,'Cable Data Master'!$E:$E,$BJ83,'Cable Data Master'!$F:$F,$BK83),"")</f>
        <v>0</v>
      </c>
      <c r="BR83" s="86"/>
    </row>
    <row r="84" spans="1:70" s="87" customFormat="1" ht="30" customHeight="1" x14ac:dyDescent="0.35">
      <c r="A84" s="72">
        <v>81</v>
      </c>
      <c r="B84" s="73"/>
      <c r="C84" s="73"/>
      <c r="D84" s="74">
        <v>4.5</v>
      </c>
      <c r="E84" s="74"/>
      <c r="F84" s="74" t="s">
        <v>132</v>
      </c>
      <c r="G84" s="72" t="str">
        <f>IF(OR(C84="",D84="",E84="",H84="",J84="",K84="",L84="",M84="",N84="",O84="",P84="",Q84="",R84="",S84=""),"",IFERROR(LOOKUP(2,1/(('AUTO ENGINE'!$A$2:$A$1201=ROW())*('AUTO ENGINE'!$M$2:$M$1201=1)),'AUTO ENGINE'!$B$2:$B$1201),"NO CABLE PASSES"))</f>
        <v/>
      </c>
      <c r="H84" s="73" t="s">
        <v>133</v>
      </c>
      <c r="I84" s="72">
        <f t="shared" si="82"/>
        <v>0</v>
      </c>
      <c r="J84" s="73">
        <v>1</v>
      </c>
      <c r="K84" s="73">
        <v>415</v>
      </c>
      <c r="L84" s="73">
        <v>0.53</v>
      </c>
      <c r="M84" s="73">
        <v>0.85</v>
      </c>
      <c r="N84" s="73">
        <v>0.95399999999999996</v>
      </c>
      <c r="O84" s="73"/>
      <c r="P84" s="73">
        <v>1.5</v>
      </c>
      <c r="Q84" s="73">
        <v>0.3</v>
      </c>
      <c r="R84" s="72">
        <f t="shared" si="83"/>
        <v>0</v>
      </c>
      <c r="S84" s="73">
        <v>0.2</v>
      </c>
      <c r="T84" s="72">
        <f t="shared" si="84"/>
        <v>0</v>
      </c>
      <c r="U84" s="72">
        <f t="shared" si="120"/>
        <v>0</v>
      </c>
      <c r="V84" s="72">
        <f t="shared" si="85"/>
        <v>0</v>
      </c>
      <c r="W84" s="72">
        <f t="shared" si="86"/>
        <v>0</v>
      </c>
      <c r="X84" s="72">
        <f t="shared" si="87"/>
        <v>0</v>
      </c>
      <c r="Y84" s="72">
        <f t="shared" si="88"/>
        <v>0</v>
      </c>
      <c r="Z84" s="72" t="str">
        <f t="shared" si="89"/>
        <v>PASS</v>
      </c>
      <c r="AA84" s="72">
        <f t="shared" si="90"/>
        <v>0</v>
      </c>
      <c r="AB84" s="72">
        <f t="shared" si="91"/>
        <v>0.95393920141694566</v>
      </c>
      <c r="AC84" s="72">
        <f t="shared" si="92"/>
        <v>0</v>
      </c>
      <c r="AD84" s="72">
        <f t="shared" si="93"/>
        <v>0</v>
      </c>
      <c r="AE84" s="72">
        <f t="shared" si="94"/>
        <v>0</v>
      </c>
      <c r="AF84" s="72" t="str">
        <f>IF(OR(AE84="",AD84=""),"",IF(AE84&lt;='OS-DORAEN'!$B$6,"PASS","FAIL"))</f>
        <v>PASS</v>
      </c>
      <c r="AG84" s="72">
        <f t="shared" si="95"/>
        <v>0.52678268764263703</v>
      </c>
      <c r="AH84" s="72">
        <f t="shared" si="96"/>
        <v>0</v>
      </c>
      <c r="AI84" s="72">
        <f t="shared" si="97"/>
        <v>0</v>
      </c>
      <c r="AJ84" s="72">
        <f t="shared" si="98"/>
        <v>0</v>
      </c>
      <c r="AK84" s="72" t="str">
        <f>IF(OR(AJ84="",AI84=""),"",IF(AJ84&lt;='OS-DORAEN'!$B$5,"PASS","FAIL"))</f>
        <v>PASS</v>
      </c>
      <c r="AL84" s="72" t="str">
        <f t="shared" si="99"/>
        <v/>
      </c>
      <c r="AM84" s="72" t="str">
        <f t="shared" si="100"/>
        <v/>
      </c>
      <c r="AN84" s="72" t="str">
        <f t="shared" si="101"/>
        <v/>
      </c>
      <c r="AO84" s="72" t="str">
        <f t="shared" si="102"/>
        <v>PASS</v>
      </c>
      <c r="AP84" s="72" t="str">
        <f t="shared" si="103"/>
        <v/>
      </c>
      <c r="AQ84" s="72" t="str">
        <f t="shared" si="104"/>
        <v/>
      </c>
      <c r="AR84" s="72" t="str">
        <f t="shared" si="121"/>
        <v/>
      </c>
      <c r="AS84" s="72">
        <f t="shared" si="105"/>
        <v>0</v>
      </c>
      <c r="AT84" s="72">
        <f>IF(AS84="","",IF(AS84&lt;=Lists!$J$2,Lists!$J$2,IFERROR(INDEX(Lists!$J$2:$J$28,IF(INDEX(Lists!$J$2:$J$28,MATCH(AS84,Lists!$J$2:$J$28,1))=AS84,MATCH(AS84,Lists!$J$2:$J$28,1),MATCH(AS84,Lists!$J$2:$J$28,1)+1)),"NO STANDARD CB")))</f>
        <v>16</v>
      </c>
      <c r="AU84" s="72" t="str">
        <f t="shared" si="106"/>
        <v>Manufacturer-specific adjustable trip unit</v>
      </c>
      <c r="AV84" s="72">
        <f t="shared" si="107"/>
        <v>0</v>
      </c>
      <c r="AW84" s="72" t="str">
        <f t="shared" si="108"/>
        <v>Verify manufacturer instantaneous/magnetic pickup</v>
      </c>
      <c r="AX84" s="72" t="str">
        <f t="shared" si="109"/>
        <v>VERIFY MANUFACTURER</v>
      </c>
      <c r="AY84" s="72" t="str">
        <f t="shared" si="110"/>
        <v>PASS</v>
      </c>
      <c r="AZ84" s="72" t="str">
        <f t="shared" si="111"/>
        <v>16 A MCCB; target Ir 0.0 A; manufacturer trip-unit verification required</v>
      </c>
      <c r="BA84" s="73"/>
      <c r="BB84" s="72" t="str">
        <f t="shared" si="112"/>
        <v>ENTER CB Icu/Ics</v>
      </c>
      <c r="BC84" s="72" t="str">
        <f t="shared" si="113"/>
        <v>Enter manufacturer CB Icu/Ics. Required ≥ 0.00 kA</v>
      </c>
      <c r="BD84" s="72" t="str">
        <f>IF(OR(AS84="",AT84="",AV84=""),"",IF(AND(AT84&gt;=AS84,COUNTIF(Lists!$J$2:$J$28,AT84)&gt;0,AV84&gt;=AS84,AV84&lt;=AT84),"PASS","FAIL - REVIEW MCCB FRAME/TRIP UNIT"))</f>
        <v>PASS</v>
      </c>
      <c r="BE84" s="86"/>
      <c r="BF84" s="86" t="str">
        <f t="shared" si="114"/>
        <v>XLPE</v>
      </c>
      <c r="BG84" s="86" t="str">
        <f t="shared" si="115"/>
        <v>3C</v>
      </c>
      <c r="BH84" s="86" t="str">
        <f t="shared" si="116"/>
        <v>Al</v>
      </c>
      <c r="BI84" s="86" t="str">
        <f t="shared" si="117"/>
        <v>XLPE</v>
      </c>
      <c r="BJ84" s="86" t="str">
        <f t="shared" si="118"/>
        <v>Armoured</v>
      </c>
      <c r="BK84" s="86" t="str">
        <f t="shared" si="119"/>
        <v/>
      </c>
      <c r="BL84" s="86">
        <f>IFERROR(SUMIFS('Cable Data Master'!$K:$K,'Cable Data Master'!$A:$A,$BF84,'Cable Data Master'!$B:$B,$BG84,'Cable Data Master'!$C:$C,$BH84,'Cable Data Master'!$D:$D,$BI84,'Cable Data Master'!$E:$E,$BJ84,'Cable Data Master'!$F:$F,$BK84),"")</f>
        <v>0</v>
      </c>
      <c r="BM84" s="86">
        <f>IFERROR(SUMIFS('Cable Data Master'!$L:$L,'Cable Data Master'!$A:$A,$BF84,'Cable Data Master'!$B:$B,$BG84,'Cable Data Master'!$C:$C,$BH84,'Cable Data Master'!$D:$D,$BI84,'Cable Data Master'!$E:$E,$BJ84,'Cable Data Master'!$F:$F,$BK84),"")</f>
        <v>0</v>
      </c>
      <c r="BN84" s="86">
        <f>IFERROR(SUMIFS('Cable Data Master'!$G:$G,'Cable Data Master'!$A:$A,$BF84,'Cable Data Master'!$B:$B,$BG84,'Cable Data Master'!$C:$C,$BH84,'Cable Data Master'!$D:$D,$BI84,'Cable Data Master'!$E:$E,$BJ84,'Cable Data Master'!$F:$F,$BK84),"")</f>
        <v>0</v>
      </c>
      <c r="BO84" s="86">
        <f>IFERROR(SUMIFS('Cable Data Master'!$H:$H,'Cable Data Master'!$A:$A,$BF84,'Cable Data Master'!$B:$B,$BG84,'Cable Data Master'!$C:$C,$BH84,'Cable Data Master'!$D:$D,$BI84,'Cable Data Master'!$E:$E,$BJ84,'Cable Data Master'!$F:$F,$BK84),"")</f>
        <v>0</v>
      </c>
      <c r="BP84" s="86">
        <f>IFERROR(SUMIFS('Cable Data Master'!$I:$I,'Cable Data Master'!$A:$A,$BF84,'Cable Data Master'!$B:$B,$BG84,'Cable Data Master'!$C:$C,$BH84,'Cable Data Master'!$D:$D,$BI84,'Cable Data Master'!$E:$E,$BJ84,'Cable Data Master'!$F:$F,$BK84),"")</f>
        <v>0</v>
      </c>
      <c r="BQ84" s="86">
        <f>IFERROR(SUMIFS('Cable Data Master'!$J:$J,'Cable Data Master'!$A:$A,$BF84,'Cable Data Master'!$B:$B,$BG84,'Cable Data Master'!$C:$C,$BH84,'Cable Data Master'!$D:$D,$BI84,'Cable Data Master'!$E:$E,$BJ84,'Cable Data Master'!$F:$F,$BK84),"")</f>
        <v>0</v>
      </c>
      <c r="BR84" s="86"/>
    </row>
    <row r="85" spans="1:70" s="87" customFormat="1" ht="30" customHeight="1" x14ac:dyDescent="0.35">
      <c r="A85" s="72">
        <v>82</v>
      </c>
      <c r="B85" s="73"/>
      <c r="C85" s="73"/>
      <c r="D85" s="74">
        <v>4.5</v>
      </c>
      <c r="E85" s="74"/>
      <c r="F85" s="74" t="s">
        <v>132</v>
      </c>
      <c r="G85" s="72" t="str">
        <f>IF(OR(C85="",D85="",E85="",H85="",J85="",K85="",L85="",M85="",N85="",O85="",P85="",Q85="",R85="",S85=""),"",IFERROR(LOOKUP(2,1/(('AUTO ENGINE'!$A$2:$A$1201=ROW())*('AUTO ENGINE'!$M$2:$M$1201=1)),'AUTO ENGINE'!$B$2:$B$1201),"NO CABLE PASSES"))</f>
        <v/>
      </c>
      <c r="H85" s="73" t="s">
        <v>133</v>
      </c>
      <c r="I85" s="72">
        <f t="shared" si="82"/>
        <v>0</v>
      </c>
      <c r="J85" s="73">
        <v>1</v>
      </c>
      <c r="K85" s="73">
        <v>415</v>
      </c>
      <c r="L85" s="73">
        <v>0.53</v>
      </c>
      <c r="M85" s="73">
        <v>0.85</v>
      </c>
      <c r="N85" s="73">
        <v>0.95399999999999996</v>
      </c>
      <c r="O85" s="73"/>
      <c r="P85" s="73">
        <v>1.5</v>
      </c>
      <c r="Q85" s="73">
        <v>0.3</v>
      </c>
      <c r="R85" s="72">
        <f t="shared" si="83"/>
        <v>0</v>
      </c>
      <c r="S85" s="73">
        <v>0.2</v>
      </c>
      <c r="T85" s="72">
        <f t="shared" si="84"/>
        <v>0</v>
      </c>
      <c r="U85" s="72">
        <f t="shared" si="120"/>
        <v>0</v>
      </c>
      <c r="V85" s="72">
        <f t="shared" si="85"/>
        <v>0</v>
      </c>
      <c r="W85" s="72">
        <f t="shared" si="86"/>
        <v>0</v>
      </c>
      <c r="X85" s="72">
        <f t="shared" si="87"/>
        <v>0</v>
      </c>
      <c r="Y85" s="72">
        <f t="shared" si="88"/>
        <v>0</v>
      </c>
      <c r="Z85" s="72" t="str">
        <f t="shared" si="89"/>
        <v>PASS</v>
      </c>
      <c r="AA85" s="72">
        <f t="shared" si="90"/>
        <v>0</v>
      </c>
      <c r="AB85" s="72">
        <f t="shared" si="91"/>
        <v>0.95393920141694566</v>
      </c>
      <c r="AC85" s="72">
        <f t="shared" si="92"/>
        <v>0</v>
      </c>
      <c r="AD85" s="72">
        <f t="shared" si="93"/>
        <v>0</v>
      </c>
      <c r="AE85" s="72">
        <f t="shared" si="94"/>
        <v>0</v>
      </c>
      <c r="AF85" s="72" t="str">
        <f>IF(OR(AE85="",AD85=""),"",IF(AE85&lt;='OS-DORAEN'!$B$6,"PASS","FAIL"))</f>
        <v>PASS</v>
      </c>
      <c r="AG85" s="72">
        <f t="shared" si="95"/>
        <v>0.52678268764263703</v>
      </c>
      <c r="AH85" s="72">
        <f t="shared" si="96"/>
        <v>0</v>
      </c>
      <c r="AI85" s="72">
        <f t="shared" si="97"/>
        <v>0</v>
      </c>
      <c r="AJ85" s="72">
        <f t="shared" si="98"/>
        <v>0</v>
      </c>
      <c r="AK85" s="72" t="str">
        <f>IF(OR(AJ85="",AI85=""),"",IF(AJ85&lt;='OS-DORAEN'!$B$5,"PASS","FAIL"))</f>
        <v>PASS</v>
      </c>
      <c r="AL85" s="72" t="str">
        <f t="shared" si="99"/>
        <v/>
      </c>
      <c r="AM85" s="72" t="str">
        <f t="shared" si="100"/>
        <v/>
      </c>
      <c r="AN85" s="72" t="str">
        <f t="shared" si="101"/>
        <v/>
      </c>
      <c r="AO85" s="72" t="str">
        <f t="shared" si="102"/>
        <v>PASS</v>
      </c>
      <c r="AP85" s="72" t="str">
        <f t="shared" si="103"/>
        <v/>
      </c>
      <c r="AQ85" s="72" t="str">
        <f t="shared" si="104"/>
        <v/>
      </c>
      <c r="AR85" s="72" t="str">
        <f t="shared" si="121"/>
        <v/>
      </c>
      <c r="AS85" s="72">
        <f t="shared" si="105"/>
        <v>0</v>
      </c>
      <c r="AT85" s="72">
        <f>IF(AS85="","",IF(AS85&lt;=Lists!$J$2,Lists!$J$2,IFERROR(INDEX(Lists!$J$2:$J$28,IF(INDEX(Lists!$J$2:$J$28,MATCH(AS85,Lists!$J$2:$J$28,1))=AS85,MATCH(AS85,Lists!$J$2:$J$28,1),MATCH(AS85,Lists!$J$2:$J$28,1)+1)),"NO STANDARD CB")))</f>
        <v>16</v>
      </c>
      <c r="AU85" s="72" t="str">
        <f t="shared" si="106"/>
        <v>Manufacturer-specific adjustable trip unit</v>
      </c>
      <c r="AV85" s="72">
        <f t="shared" si="107"/>
        <v>0</v>
      </c>
      <c r="AW85" s="72" t="str">
        <f t="shared" si="108"/>
        <v>Verify manufacturer instantaneous/magnetic pickup</v>
      </c>
      <c r="AX85" s="72" t="str">
        <f t="shared" si="109"/>
        <v>VERIFY MANUFACTURER</v>
      </c>
      <c r="AY85" s="72" t="str">
        <f t="shared" si="110"/>
        <v>PASS</v>
      </c>
      <c r="AZ85" s="72" t="str">
        <f t="shared" si="111"/>
        <v>16 A MCCB; target Ir 0.0 A; manufacturer trip-unit verification required</v>
      </c>
      <c r="BA85" s="73"/>
      <c r="BB85" s="72" t="str">
        <f t="shared" si="112"/>
        <v>ENTER CB Icu/Ics</v>
      </c>
      <c r="BC85" s="72" t="str">
        <f t="shared" si="113"/>
        <v>Enter manufacturer CB Icu/Ics. Required ≥ 0.00 kA</v>
      </c>
      <c r="BD85" s="72" t="str">
        <f>IF(OR(AS85="",AT85="",AV85=""),"",IF(AND(AT85&gt;=AS85,COUNTIF(Lists!$J$2:$J$28,AT85)&gt;0,AV85&gt;=AS85,AV85&lt;=AT85),"PASS","FAIL - REVIEW MCCB FRAME/TRIP UNIT"))</f>
        <v>PASS</v>
      </c>
      <c r="BE85" s="86"/>
      <c r="BF85" s="86" t="str">
        <f t="shared" si="114"/>
        <v>XLPE</v>
      </c>
      <c r="BG85" s="86" t="str">
        <f t="shared" si="115"/>
        <v>3C</v>
      </c>
      <c r="BH85" s="86" t="str">
        <f t="shared" si="116"/>
        <v>Al</v>
      </c>
      <c r="BI85" s="86" t="str">
        <f t="shared" si="117"/>
        <v>XLPE</v>
      </c>
      <c r="BJ85" s="86" t="str">
        <f t="shared" si="118"/>
        <v>Armoured</v>
      </c>
      <c r="BK85" s="86" t="str">
        <f t="shared" si="119"/>
        <v/>
      </c>
      <c r="BL85" s="86">
        <f>IFERROR(SUMIFS('Cable Data Master'!$K:$K,'Cable Data Master'!$A:$A,$BF85,'Cable Data Master'!$B:$B,$BG85,'Cable Data Master'!$C:$C,$BH85,'Cable Data Master'!$D:$D,$BI85,'Cable Data Master'!$E:$E,$BJ85,'Cable Data Master'!$F:$F,$BK85),"")</f>
        <v>0</v>
      </c>
      <c r="BM85" s="86">
        <f>IFERROR(SUMIFS('Cable Data Master'!$L:$L,'Cable Data Master'!$A:$A,$BF85,'Cable Data Master'!$B:$B,$BG85,'Cable Data Master'!$C:$C,$BH85,'Cable Data Master'!$D:$D,$BI85,'Cable Data Master'!$E:$E,$BJ85,'Cable Data Master'!$F:$F,$BK85),"")</f>
        <v>0</v>
      </c>
      <c r="BN85" s="86">
        <f>IFERROR(SUMIFS('Cable Data Master'!$G:$G,'Cable Data Master'!$A:$A,$BF85,'Cable Data Master'!$B:$B,$BG85,'Cable Data Master'!$C:$C,$BH85,'Cable Data Master'!$D:$D,$BI85,'Cable Data Master'!$E:$E,$BJ85,'Cable Data Master'!$F:$F,$BK85),"")</f>
        <v>0</v>
      </c>
      <c r="BO85" s="86">
        <f>IFERROR(SUMIFS('Cable Data Master'!$H:$H,'Cable Data Master'!$A:$A,$BF85,'Cable Data Master'!$B:$B,$BG85,'Cable Data Master'!$C:$C,$BH85,'Cable Data Master'!$D:$D,$BI85,'Cable Data Master'!$E:$E,$BJ85,'Cable Data Master'!$F:$F,$BK85),"")</f>
        <v>0</v>
      </c>
      <c r="BP85" s="86">
        <f>IFERROR(SUMIFS('Cable Data Master'!$I:$I,'Cable Data Master'!$A:$A,$BF85,'Cable Data Master'!$B:$B,$BG85,'Cable Data Master'!$C:$C,$BH85,'Cable Data Master'!$D:$D,$BI85,'Cable Data Master'!$E:$E,$BJ85,'Cable Data Master'!$F:$F,$BK85),"")</f>
        <v>0</v>
      </c>
      <c r="BQ85" s="86">
        <f>IFERROR(SUMIFS('Cable Data Master'!$J:$J,'Cable Data Master'!$A:$A,$BF85,'Cable Data Master'!$B:$B,$BG85,'Cable Data Master'!$C:$C,$BH85,'Cable Data Master'!$D:$D,$BI85,'Cable Data Master'!$E:$E,$BJ85,'Cable Data Master'!$F:$F,$BK85),"")</f>
        <v>0</v>
      </c>
      <c r="BR85" s="86"/>
    </row>
    <row r="86" spans="1:70" s="87" customFormat="1" ht="30" customHeight="1" x14ac:dyDescent="0.35">
      <c r="A86" s="72">
        <v>83</v>
      </c>
      <c r="B86" s="73"/>
      <c r="C86" s="73"/>
      <c r="D86" s="74">
        <v>4.5</v>
      </c>
      <c r="E86" s="74"/>
      <c r="F86" s="74" t="s">
        <v>132</v>
      </c>
      <c r="G86" s="72" t="str">
        <f>IF(OR(C86="",D86="",E86="",H86="",J86="",K86="",L86="",M86="",N86="",O86="",P86="",Q86="",R86="",S86=""),"",IFERROR(LOOKUP(2,1/(('AUTO ENGINE'!$A$2:$A$1201=ROW())*('AUTO ENGINE'!$M$2:$M$1201=1)),'AUTO ENGINE'!$B$2:$B$1201),"NO CABLE PASSES"))</f>
        <v/>
      </c>
      <c r="H86" s="73" t="s">
        <v>133</v>
      </c>
      <c r="I86" s="72">
        <f t="shared" si="82"/>
        <v>0</v>
      </c>
      <c r="J86" s="73">
        <v>1</v>
      </c>
      <c r="K86" s="73">
        <v>415</v>
      </c>
      <c r="L86" s="73">
        <v>0.53</v>
      </c>
      <c r="M86" s="73">
        <v>0.85</v>
      </c>
      <c r="N86" s="73">
        <v>0.95399999999999996</v>
      </c>
      <c r="O86" s="73"/>
      <c r="P86" s="73">
        <v>1.5</v>
      </c>
      <c r="Q86" s="73">
        <v>0.3</v>
      </c>
      <c r="R86" s="72">
        <f t="shared" si="83"/>
        <v>0</v>
      </c>
      <c r="S86" s="73">
        <v>0.2</v>
      </c>
      <c r="T86" s="72">
        <f t="shared" si="84"/>
        <v>0</v>
      </c>
      <c r="U86" s="72">
        <f t="shared" si="120"/>
        <v>0</v>
      </c>
      <c r="V86" s="72">
        <f t="shared" si="85"/>
        <v>0</v>
      </c>
      <c r="W86" s="72">
        <f t="shared" si="86"/>
        <v>0</v>
      </c>
      <c r="X86" s="72">
        <f t="shared" si="87"/>
        <v>0</v>
      </c>
      <c r="Y86" s="72">
        <f t="shared" si="88"/>
        <v>0</v>
      </c>
      <c r="Z86" s="72" t="str">
        <f t="shared" si="89"/>
        <v>PASS</v>
      </c>
      <c r="AA86" s="72">
        <f t="shared" si="90"/>
        <v>0</v>
      </c>
      <c r="AB86" s="72">
        <f t="shared" si="91"/>
        <v>0.95393920141694566</v>
      </c>
      <c r="AC86" s="72">
        <f t="shared" si="92"/>
        <v>0</v>
      </c>
      <c r="AD86" s="72">
        <f t="shared" si="93"/>
        <v>0</v>
      </c>
      <c r="AE86" s="72">
        <f t="shared" si="94"/>
        <v>0</v>
      </c>
      <c r="AF86" s="72" t="str">
        <f>IF(OR(AE86="",AD86=""),"",IF(AE86&lt;='OS-DORAEN'!$B$6,"PASS","FAIL"))</f>
        <v>PASS</v>
      </c>
      <c r="AG86" s="72">
        <f t="shared" si="95"/>
        <v>0.52678268764263703</v>
      </c>
      <c r="AH86" s="72">
        <f t="shared" si="96"/>
        <v>0</v>
      </c>
      <c r="AI86" s="72">
        <f t="shared" si="97"/>
        <v>0</v>
      </c>
      <c r="AJ86" s="72">
        <f t="shared" si="98"/>
        <v>0</v>
      </c>
      <c r="AK86" s="72" t="str">
        <f>IF(OR(AJ86="",AI86=""),"",IF(AJ86&lt;='OS-DORAEN'!$B$5,"PASS","FAIL"))</f>
        <v>PASS</v>
      </c>
      <c r="AL86" s="72" t="str">
        <f t="shared" si="99"/>
        <v/>
      </c>
      <c r="AM86" s="72" t="str">
        <f t="shared" si="100"/>
        <v/>
      </c>
      <c r="AN86" s="72" t="str">
        <f t="shared" si="101"/>
        <v/>
      </c>
      <c r="AO86" s="72" t="str">
        <f t="shared" si="102"/>
        <v>PASS</v>
      </c>
      <c r="AP86" s="72" t="str">
        <f t="shared" si="103"/>
        <v/>
      </c>
      <c r="AQ86" s="72" t="str">
        <f t="shared" si="104"/>
        <v/>
      </c>
      <c r="AR86" s="72" t="str">
        <f t="shared" si="121"/>
        <v/>
      </c>
      <c r="AS86" s="72">
        <f t="shared" si="105"/>
        <v>0</v>
      </c>
      <c r="AT86" s="72">
        <f>IF(AS86="","",IF(AS86&lt;=Lists!$J$2,Lists!$J$2,IFERROR(INDEX(Lists!$J$2:$J$28,IF(INDEX(Lists!$J$2:$J$28,MATCH(AS86,Lists!$J$2:$J$28,1))=AS86,MATCH(AS86,Lists!$J$2:$J$28,1),MATCH(AS86,Lists!$J$2:$J$28,1)+1)),"NO STANDARD CB")))</f>
        <v>16</v>
      </c>
      <c r="AU86" s="72" t="str">
        <f t="shared" si="106"/>
        <v>Manufacturer-specific adjustable trip unit</v>
      </c>
      <c r="AV86" s="72">
        <f t="shared" si="107"/>
        <v>0</v>
      </c>
      <c r="AW86" s="72" t="str">
        <f t="shared" si="108"/>
        <v>Verify manufacturer instantaneous/magnetic pickup</v>
      </c>
      <c r="AX86" s="72" t="str">
        <f t="shared" si="109"/>
        <v>VERIFY MANUFACTURER</v>
      </c>
      <c r="AY86" s="72" t="str">
        <f t="shared" si="110"/>
        <v>PASS</v>
      </c>
      <c r="AZ86" s="72" t="str">
        <f t="shared" si="111"/>
        <v>16 A MCCB; target Ir 0.0 A; manufacturer trip-unit verification required</v>
      </c>
      <c r="BA86" s="73"/>
      <c r="BB86" s="72" t="str">
        <f t="shared" si="112"/>
        <v>ENTER CB Icu/Ics</v>
      </c>
      <c r="BC86" s="72" t="str">
        <f t="shared" si="113"/>
        <v>Enter manufacturer CB Icu/Ics. Required ≥ 0.00 kA</v>
      </c>
      <c r="BD86" s="72" t="str">
        <f>IF(OR(AS86="",AT86="",AV86=""),"",IF(AND(AT86&gt;=AS86,COUNTIF(Lists!$J$2:$J$28,AT86)&gt;0,AV86&gt;=AS86,AV86&lt;=AT86),"PASS","FAIL - REVIEW MCCB FRAME/TRIP UNIT"))</f>
        <v>PASS</v>
      </c>
      <c r="BE86" s="86"/>
      <c r="BF86" s="86" t="str">
        <f t="shared" si="114"/>
        <v>XLPE</v>
      </c>
      <c r="BG86" s="86" t="str">
        <f t="shared" si="115"/>
        <v>3C</v>
      </c>
      <c r="BH86" s="86" t="str">
        <f t="shared" si="116"/>
        <v>Al</v>
      </c>
      <c r="BI86" s="86" t="str">
        <f t="shared" si="117"/>
        <v>XLPE</v>
      </c>
      <c r="BJ86" s="86" t="str">
        <f t="shared" si="118"/>
        <v>Armoured</v>
      </c>
      <c r="BK86" s="86" t="str">
        <f t="shared" si="119"/>
        <v/>
      </c>
      <c r="BL86" s="86">
        <f>IFERROR(SUMIFS('Cable Data Master'!$K:$K,'Cable Data Master'!$A:$A,$BF86,'Cable Data Master'!$B:$B,$BG86,'Cable Data Master'!$C:$C,$BH86,'Cable Data Master'!$D:$D,$BI86,'Cable Data Master'!$E:$E,$BJ86,'Cable Data Master'!$F:$F,$BK86),"")</f>
        <v>0</v>
      </c>
      <c r="BM86" s="86">
        <f>IFERROR(SUMIFS('Cable Data Master'!$L:$L,'Cable Data Master'!$A:$A,$BF86,'Cable Data Master'!$B:$B,$BG86,'Cable Data Master'!$C:$C,$BH86,'Cable Data Master'!$D:$D,$BI86,'Cable Data Master'!$E:$E,$BJ86,'Cable Data Master'!$F:$F,$BK86),"")</f>
        <v>0</v>
      </c>
      <c r="BN86" s="86">
        <f>IFERROR(SUMIFS('Cable Data Master'!$G:$G,'Cable Data Master'!$A:$A,$BF86,'Cable Data Master'!$B:$B,$BG86,'Cable Data Master'!$C:$C,$BH86,'Cable Data Master'!$D:$D,$BI86,'Cable Data Master'!$E:$E,$BJ86,'Cable Data Master'!$F:$F,$BK86),"")</f>
        <v>0</v>
      </c>
      <c r="BO86" s="86">
        <f>IFERROR(SUMIFS('Cable Data Master'!$H:$H,'Cable Data Master'!$A:$A,$BF86,'Cable Data Master'!$B:$B,$BG86,'Cable Data Master'!$C:$C,$BH86,'Cable Data Master'!$D:$D,$BI86,'Cable Data Master'!$E:$E,$BJ86,'Cable Data Master'!$F:$F,$BK86),"")</f>
        <v>0</v>
      </c>
      <c r="BP86" s="86">
        <f>IFERROR(SUMIFS('Cable Data Master'!$I:$I,'Cable Data Master'!$A:$A,$BF86,'Cable Data Master'!$B:$B,$BG86,'Cable Data Master'!$C:$C,$BH86,'Cable Data Master'!$D:$D,$BI86,'Cable Data Master'!$E:$E,$BJ86,'Cable Data Master'!$F:$F,$BK86),"")</f>
        <v>0</v>
      </c>
      <c r="BQ86" s="86">
        <f>IFERROR(SUMIFS('Cable Data Master'!$J:$J,'Cable Data Master'!$A:$A,$BF86,'Cable Data Master'!$B:$B,$BG86,'Cable Data Master'!$C:$C,$BH86,'Cable Data Master'!$D:$D,$BI86,'Cable Data Master'!$E:$E,$BJ86,'Cable Data Master'!$F:$F,$BK86),"")</f>
        <v>0</v>
      </c>
      <c r="BR86" s="86"/>
    </row>
    <row r="87" spans="1:70" s="87" customFormat="1" ht="30" customHeight="1" x14ac:dyDescent="0.35">
      <c r="A87" s="72">
        <v>84</v>
      </c>
      <c r="B87" s="73"/>
      <c r="C87" s="73"/>
      <c r="D87" s="74">
        <v>4.5</v>
      </c>
      <c r="E87" s="74"/>
      <c r="F87" s="74" t="s">
        <v>132</v>
      </c>
      <c r="G87" s="72" t="str">
        <f>IF(OR(C87="",D87="",E87="",H87="",J87="",K87="",L87="",M87="",N87="",O87="",P87="",Q87="",R87="",S87=""),"",IFERROR(LOOKUP(2,1/(('AUTO ENGINE'!$A$2:$A$1201=ROW())*('AUTO ENGINE'!$M$2:$M$1201=1)),'AUTO ENGINE'!$B$2:$B$1201),"NO CABLE PASSES"))</f>
        <v/>
      </c>
      <c r="H87" s="73" t="s">
        <v>133</v>
      </c>
      <c r="I87" s="72">
        <f t="shared" si="82"/>
        <v>0</v>
      </c>
      <c r="J87" s="73">
        <v>1</v>
      </c>
      <c r="K87" s="73">
        <v>415</v>
      </c>
      <c r="L87" s="73">
        <v>0.53</v>
      </c>
      <c r="M87" s="73">
        <v>0.85</v>
      </c>
      <c r="N87" s="73">
        <v>0.95399999999999996</v>
      </c>
      <c r="O87" s="73"/>
      <c r="P87" s="73">
        <v>1.5</v>
      </c>
      <c r="Q87" s="73">
        <v>0.3</v>
      </c>
      <c r="R87" s="72">
        <f t="shared" si="83"/>
        <v>0</v>
      </c>
      <c r="S87" s="73">
        <v>0.2</v>
      </c>
      <c r="T87" s="72">
        <f t="shared" si="84"/>
        <v>0</v>
      </c>
      <c r="U87" s="72">
        <f t="shared" si="120"/>
        <v>0</v>
      </c>
      <c r="V87" s="72">
        <f t="shared" si="85"/>
        <v>0</v>
      </c>
      <c r="W87" s="72">
        <f t="shared" si="86"/>
        <v>0</v>
      </c>
      <c r="X87" s="72">
        <f t="shared" si="87"/>
        <v>0</v>
      </c>
      <c r="Y87" s="72">
        <f t="shared" si="88"/>
        <v>0</v>
      </c>
      <c r="Z87" s="72" t="str">
        <f t="shared" si="89"/>
        <v>PASS</v>
      </c>
      <c r="AA87" s="72">
        <f t="shared" si="90"/>
        <v>0</v>
      </c>
      <c r="AB87" s="72">
        <f t="shared" si="91"/>
        <v>0.95393920141694566</v>
      </c>
      <c r="AC87" s="72">
        <f t="shared" si="92"/>
        <v>0</v>
      </c>
      <c r="AD87" s="72">
        <f t="shared" si="93"/>
        <v>0</v>
      </c>
      <c r="AE87" s="72">
        <f t="shared" si="94"/>
        <v>0</v>
      </c>
      <c r="AF87" s="72" t="str">
        <f>IF(OR(AE87="",AD87=""),"",IF(AE87&lt;='OS-DORAEN'!$B$6,"PASS","FAIL"))</f>
        <v>PASS</v>
      </c>
      <c r="AG87" s="72">
        <f t="shared" si="95"/>
        <v>0.52678268764263703</v>
      </c>
      <c r="AH87" s="72">
        <f t="shared" si="96"/>
        <v>0</v>
      </c>
      <c r="AI87" s="72">
        <f t="shared" si="97"/>
        <v>0</v>
      </c>
      <c r="AJ87" s="72">
        <f t="shared" si="98"/>
        <v>0</v>
      </c>
      <c r="AK87" s="72" t="str">
        <f>IF(OR(AJ87="",AI87=""),"",IF(AJ87&lt;='OS-DORAEN'!$B$5,"PASS","FAIL"))</f>
        <v>PASS</v>
      </c>
      <c r="AL87" s="72" t="str">
        <f t="shared" si="99"/>
        <v/>
      </c>
      <c r="AM87" s="72" t="str">
        <f t="shared" si="100"/>
        <v/>
      </c>
      <c r="AN87" s="72" t="str">
        <f t="shared" si="101"/>
        <v/>
      </c>
      <c r="AO87" s="72" t="str">
        <f t="shared" si="102"/>
        <v>PASS</v>
      </c>
      <c r="AP87" s="72" t="str">
        <f t="shared" si="103"/>
        <v/>
      </c>
      <c r="AQ87" s="72" t="str">
        <f t="shared" si="104"/>
        <v/>
      </c>
      <c r="AR87" s="72" t="str">
        <f t="shared" si="121"/>
        <v/>
      </c>
      <c r="AS87" s="72">
        <f t="shared" si="105"/>
        <v>0</v>
      </c>
      <c r="AT87" s="72">
        <f>IF(AS87="","",IF(AS87&lt;=Lists!$J$2,Lists!$J$2,IFERROR(INDEX(Lists!$J$2:$J$28,IF(INDEX(Lists!$J$2:$J$28,MATCH(AS87,Lists!$J$2:$J$28,1))=AS87,MATCH(AS87,Lists!$J$2:$J$28,1),MATCH(AS87,Lists!$J$2:$J$28,1)+1)),"NO STANDARD CB")))</f>
        <v>16</v>
      </c>
      <c r="AU87" s="72" t="str">
        <f t="shared" si="106"/>
        <v>Manufacturer-specific adjustable trip unit</v>
      </c>
      <c r="AV87" s="72">
        <f t="shared" si="107"/>
        <v>0</v>
      </c>
      <c r="AW87" s="72" t="str">
        <f t="shared" si="108"/>
        <v>Verify manufacturer instantaneous/magnetic pickup</v>
      </c>
      <c r="AX87" s="72" t="str">
        <f t="shared" si="109"/>
        <v>VERIFY MANUFACTURER</v>
      </c>
      <c r="AY87" s="72" t="str">
        <f t="shared" si="110"/>
        <v>PASS</v>
      </c>
      <c r="AZ87" s="72" t="str">
        <f t="shared" si="111"/>
        <v>16 A MCCB; target Ir 0.0 A; manufacturer trip-unit verification required</v>
      </c>
      <c r="BA87" s="73"/>
      <c r="BB87" s="72" t="str">
        <f t="shared" si="112"/>
        <v>ENTER CB Icu/Ics</v>
      </c>
      <c r="BC87" s="72" t="str">
        <f t="shared" si="113"/>
        <v>Enter manufacturer CB Icu/Ics. Required ≥ 0.00 kA</v>
      </c>
      <c r="BD87" s="72" t="str">
        <f>IF(OR(AS87="",AT87="",AV87=""),"",IF(AND(AT87&gt;=AS87,COUNTIF(Lists!$J$2:$J$28,AT87)&gt;0,AV87&gt;=AS87,AV87&lt;=AT87),"PASS","FAIL - REVIEW MCCB FRAME/TRIP UNIT"))</f>
        <v>PASS</v>
      </c>
      <c r="BE87" s="86"/>
      <c r="BF87" s="86" t="str">
        <f t="shared" si="114"/>
        <v>XLPE</v>
      </c>
      <c r="BG87" s="86" t="str">
        <f t="shared" si="115"/>
        <v>3C</v>
      </c>
      <c r="BH87" s="86" t="str">
        <f t="shared" si="116"/>
        <v>Al</v>
      </c>
      <c r="BI87" s="86" t="str">
        <f t="shared" si="117"/>
        <v>XLPE</v>
      </c>
      <c r="BJ87" s="86" t="str">
        <f t="shared" si="118"/>
        <v>Armoured</v>
      </c>
      <c r="BK87" s="86" t="str">
        <f t="shared" si="119"/>
        <v/>
      </c>
      <c r="BL87" s="86">
        <f>IFERROR(SUMIFS('Cable Data Master'!$K:$K,'Cable Data Master'!$A:$A,$BF87,'Cable Data Master'!$B:$B,$BG87,'Cable Data Master'!$C:$C,$BH87,'Cable Data Master'!$D:$D,$BI87,'Cable Data Master'!$E:$E,$BJ87,'Cable Data Master'!$F:$F,$BK87),"")</f>
        <v>0</v>
      </c>
      <c r="BM87" s="86">
        <f>IFERROR(SUMIFS('Cable Data Master'!$L:$L,'Cable Data Master'!$A:$A,$BF87,'Cable Data Master'!$B:$B,$BG87,'Cable Data Master'!$C:$C,$BH87,'Cable Data Master'!$D:$D,$BI87,'Cable Data Master'!$E:$E,$BJ87,'Cable Data Master'!$F:$F,$BK87),"")</f>
        <v>0</v>
      </c>
      <c r="BN87" s="86">
        <f>IFERROR(SUMIFS('Cable Data Master'!$G:$G,'Cable Data Master'!$A:$A,$BF87,'Cable Data Master'!$B:$B,$BG87,'Cable Data Master'!$C:$C,$BH87,'Cable Data Master'!$D:$D,$BI87,'Cable Data Master'!$E:$E,$BJ87,'Cable Data Master'!$F:$F,$BK87),"")</f>
        <v>0</v>
      </c>
      <c r="BO87" s="86">
        <f>IFERROR(SUMIFS('Cable Data Master'!$H:$H,'Cable Data Master'!$A:$A,$BF87,'Cable Data Master'!$B:$B,$BG87,'Cable Data Master'!$C:$C,$BH87,'Cable Data Master'!$D:$D,$BI87,'Cable Data Master'!$E:$E,$BJ87,'Cable Data Master'!$F:$F,$BK87),"")</f>
        <v>0</v>
      </c>
      <c r="BP87" s="86">
        <f>IFERROR(SUMIFS('Cable Data Master'!$I:$I,'Cable Data Master'!$A:$A,$BF87,'Cable Data Master'!$B:$B,$BG87,'Cable Data Master'!$C:$C,$BH87,'Cable Data Master'!$D:$D,$BI87,'Cable Data Master'!$E:$E,$BJ87,'Cable Data Master'!$F:$F,$BK87),"")</f>
        <v>0</v>
      </c>
      <c r="BQ87" s="86">
        <f>IFERROR(SUMIFS('Cable Data Master'!$J:$J,'Cable Data Master'!$A:$A,$BF87,'Cable Data Master'!$B:$B,$BG87,'Cable Data Master'!$C:$C,$BH87,'Cable Data Master'!$D:$D,$BI87,'Cable Data Master'!$E:$E,$BJ87,'Cable Data Master'!$F:$F,$BK87),"")</f>
        <v>0</v>
      </c>
      <c r="BR87" s="86"/>
    </row>
    <row r="88" spans="1:70" s="87" customFormat="1" ht="30" customHeight="1" x14ac:dyDescent="0.35">
      <c r="A88" s="72">
        <v>85</v>
      </c>
      <c r="B88" s="73"/>
      <c r="C88" s="73"/>
      <c r="D88" s="74">
        <v>4.5</v>
      </c>
      <c r="E88" s="74"/>
      <c r="F88" s="74" t="s">
        <v>132</v>
      </c>
      <c r="G88" s="72" t="str">
        <f>IF(OR(C88="",D88="",E88="",H88="",J88="",K88="",L88="",M88="",N88="",O88="",P88="",Q88="",R88="",S88=""),"",IFERROR(LOOKUP(2,1/(('AUTO ENGINE'!$A$2:$A$1201=ROW())*('AUTO ENGINE'!$M$2:$M$1201=1)),'AUTO ENGINE'!$B$2:$B$1201),"NO CABLE PASSES"))</f>
        <v/>
      </c>
      <c r="H88" s="73" t="s">
        <v>133</v>
      </c>
      <c r="I88" s="72">
        <f t="shared" si="82"/>
        <v>0</v>
      </c>
      <c r="J88" s="73">
        <v>1</v>
      </c>
      <c r="K88" s="73">
        <v>415</v>
      </c>
      <c r="L88" s="73">
        <v>0.53</v>
      </c>
      <c r="M88" s="73">
        <v>0.85</v>
      </c>
      <c r="N88" s="73">
        <v>0.95399999999999996</v>
      </c>
      <c r="O88" s="73"/>
      <c r="P88" s="73">
        <v>1.5</v>
      </c>
      <c r="Q88" s="73">
        <v>0.3</v>
      </c>
      <c r="R88" s="72">
        <f t="shared" si="83"/>
        <v>0</v>
      </c>
      <c r="S88" s="73">
        <v>0.2</v>
      </c>
      <c r="T88" s="72">
        <f t="shared" si="84"/>
        <v>0</v>
      </c>
      <c r="U88" s="72">
        <f t="shared" si="120"/>
        <v>0</v>
      </c>
      <c r="V88" s="72">
        <f t="shared" si="85"/>
        <v>0</v>
      </c>
      <c r="W88" s="72">
        <f t="shared" si="86"/>
        <v>0</v>
      </c>
      <c r="X88" s="72">
        <f t="shared" si="87"/>
        <v>0</v>
      </c>
      <c r="Y88" s="72">
        <f t="shared" si="88"/>
        <v>0</v>
      </c>
      <c r="Z88" s="72" t="str">
        <f t="shared" si="89"/>
        <v>PASS</v>
      </c>
      <c r="AA88" s="72">
        <f t="shared" si="90"/>
        <v>0</v>
      </c>
      <c r="AB88" s="72">
        <f t="shared" si="91"/>
        <v>0.95393920141694566</v>
      </c>
      <c r="AC88" s="72">
        <f t="shared" si="92"/>
        <v>0</v>
      </c>
      <c r="AD88" s="72">
        <f t="shared" si="93"/>
        <v>0</v>
      </c>
      <c r="AE88" s="72">
        <f t="shared" si="94"/>
        <v>0</v>
      </c>
      <c r="AF88" s="72" t="str">
        <f>IF(OR(AE88="",AD88=""),"",IF(AE88&lt;='OS-DORAEN'!$B$6,"PASS","FAIL"))</f>
        <v>PASS</v>
      </c>
      <c r="AG88" s="72">
        <f t="shared" si="95"/>
        <v>0.52678268764263703</v>
      </c>
      <c r="AH88" s="72">
        <f t="shared" si="96"/>
        <v>0</v>
      </c>
      <c r="AI88" s="72">
        <f t="shared" si="97"/>
        <v>0</v>
      </c>
      <c r="AJ88" s="72">
        <f t="shared" si="98"/>
        <v>0</v>
      </c>
      <c r="AK88" s="72" t="str">
        <f>IF(OR(AJ88="",AI88=""),"",IF(AJ88&lt;='OS-DORAEN'!$B$5,"PASS","FAIL"))</f>
        <v>PASS</v>
      </c>
      <c r="AL88" s="72" t="str">
        <f t="shared" si="99"/>
        <v/>
      </c>
      <c r="AM88" s="72" t="str">
        <f t="shared" si="100"/>
        <v/>
      </c>
      <c r="AN88" s="72" t="str">
        <f t="shared" si="101"/>
        <v/>
      </c>
      <c r="AO88" s="72" t="str">
        <f t="shared" si="102"/>
        <v>PASS</v>
      </c>
      <c r="AP88" s="72" t="str">
        <f t="shared" si="103"/>
        <v/>
      </c>
      <c r="AQ88" s="72" t="str">
        <f t="shared" si="104"/>
        <v/>
      </c>
      <c r="AR88" s="72" t="str">
        <f t="shared" si="121"/>
        <v/>
      </c>
      <c r="AS88" s="72">
        <f t="shared" si="105"/>
        <v>0</v>
      </c>
      <c r="AT88" s="72">
        <f>IF(AS88="","",IF(AS88&lt;=Lists!$J$2,Lists!$J$2,IFERROR(INDEX(Lists!$J$2:$J$28,IF(INDEX(Lists!$J$2:$J$28,MATCH(AS88,Lists!$J$2:$J$28,1))=AS88,MATCH(AS88,Lists!$J$2:$J$28,1),MATCH(AS88,Lists!$J$2:$J$28,1)+1)),"NO STANDARD CB")))</f>
        <v>16</v>
      </c>
      <c r="AU88" s="72" t="str">
        <f t="shared" si="106"/>
        <v>Manufacturer-specific adjustable trip unit</v>
      </c>
      <c r="AV88" s="72">
        <f t="shared" si="107"/>
        <v>0</v>
      </c>
      <c r="AW88" s="72" t="str">
        <f t="shared" si="108"/>
        <v>Verify manufacturer instantaneous/magnetic pickup</v>
      </c>
      <c r="AX88" s="72" t="str">
        <f t="shared" si="109"/>
        <v>VERIFY MANUFACTURER</v>
      </c>
      <c r="AY88" s="72" t="str">
        <f t="shared" si="110"/>
        <v>PASS</v>
      </c>
      <c r="AZ88" s="72" t="str">
        <f t="shared" si="111"/>
        <v>16 A MCCB; target Ir 0.0 A; manufacturer trip-unit verification required</v>
      </c>
      <c r="BA88" s="73"/>
      <c r="BB88" s="72" t="str">
        <f t="shared" si="112"/>
        <v>ENTER CB Icu/Ics</v>
      </c>
      <c r="BC88" s="72" t="str">
        <f t="shared" si="113"/>
        <v>Enter manufacturer CB Icu/Ics. Required ≥ 0.00 kA</v>
      </c>
      <c r="BD88" s="72" t="str">
        <f>IF(OR(AS88="",AT88="",AV88=""),"",IF(AND(AT88&gt;=AS88,COUNTIF(Lists!$J$2:$J$28,AT88)&gt;0,AV88&gt;=AS88,AV88&lt;=AT88),"PASS","FAIL - REVIEW MCCB FRAME/TRIP UNIT"))</f>
        <v>PASS</v>
      </c>
      <c r="BE88" s="86"/>
      <c r="BF88" s="86" t="str">
        <f t="shared" si="114"/>
        <v>XLPE</v>
      </c>
      <c r="BG88" s="86" t="str">
        <f t="shared" si="115"/>
        <v>3C</v>
      </c>
      <c r="BH88" s="86" t="str">
        <f t="shared" si="116"/>
        <v>Al</v>
      </c>
      <c r="BI88" s="86" t="str">
        <f t="shared" si="117"/>
        <v>XLPE</v>
      </c>
      <c r="BJ88" s="86" t="str">
        <f t="shared" si="118"/>
        <v>Armoured</v>
      </c>
      <c r="BK88" s="86" t="str">
        <f t="shared" si="119"/>
        <v/>
      </c>
      <c r="BL88" s="86">
        <f>IFERROR(SUMIFS('Cable Data Master'!$K:$K,'Cable Data Master'!$A:$A,$BF88,'Cable Data Master'!$B:$B,$BG88,'Cable Data Master'!$C:$C,$BH88,'Cable Data Master'!$D:$D,$BI88,'Cable Data Master'!$E:$E,$BJ88,'Cable Data Master'!$F:$F,$BK88),"")</f>
        <v>0</v>
      </c>
      <c r="BM88" s="86">
        <f>IFERROR(SUMIFS('Cable Data Master'!$L:$L,'Cable Data Master'!$A:$A,$BF88,'Cable Data Master'!$B:$B,$BG88,'Cable Data Master'!$C:$C,$BH88,'Cable Data Master'!$D:$D,$BI88,'Cable Data Master'!$E:$E,$BJ88,'Cable Data Master'!$F:$F,$BK88),"")</f>
        <v>0</v>
      </c>
      <c r="BN88" s="86">
        <f>IFERROR(SUMIFS('Cable Data Master'!$G:$G,'Cable Data Master'!$A:$A,$BF88,'Cable Data Master'!$B:$B,$BG88,'Cable Data Master'!$C:$C,$BH88,'Cable Data Master'!$D:$D,$BI88,'Cable Data Master'!$E:$E,$BJ88,'Cable Data Master'!$F:$F,$BK88),"")</f>
        <v>0</v>
      </c>
      <c r="BO88" s="86">
        <f>IFERROR(SUMIFS('Cable Data Master'!$H:$H,'Cable Data Master'!$A:$A,$BF88,'Cable Data Master'!$B:$B,$BG88,'Cable Data Master'!$C:$C,$BH88,'Cable Data Master'!$D:$D,$BI88,'Cable Data Master'!$E:$E,$BJ88,'Cable Data Master'!$F:$F,$BK88),"")</f>
        <v>0</v>
      </c>
      <c r="BP88" s="86">
        <f>IFERROR(SUMIFS('Cable Data Master'!$I:$I,'Cable Data Master'!$A:$A,$BF88,'Cable Data Master'!$B:$B,$BG88,'Cable Data Master'!$C:$C,$BH88,'Cable Data Master'!$D:$D,$BI88,'Cable Data Master'!$E:$E,$BJ88,'Cable Data Master'!$F:$F,$BK88),"")</f>
        <v>0</v>
      </c>
      <c r="BQ88" s="86">
        <f>IFERROR(SUMIFS('Cable Data Master'!$J:$J,'Cable Data Master'!$A:$A,$BF88,'Cable Data Master'!$B:$B,$BG88,'Cable Data Master'!$C:$C,$BH88,'Cable Data Master'!$D:$D,$BI88,'Cable Data Master'!$E:$E,$BJ88,'Cable Data Master'!$F:$F,$BK88),"")</f>
        <v>0</v>
      </c>
      <c r="BR88" s="86"/>
    </row>
    <row r="89" spans="1:70" s="87" customFormat="1" ht="30" customHeight="1" x14ac:dyDescent="0.35">
      <c r="A89" s="72">
        <v>86</v>
      </c>
      <c r="B89" s="73"/>
      <c r="C89" s="73"/>
      <c r="D89" s="74">
        <v>4.5</v>
      </c>
      <c r="E89" s="74"/>
      <c r="F89" s="74" t="s">
        <v>132</v>
      </c>
      <c r="G89" s="72" t="str">
        <f>IF(OR(C89="",D89="",E89="",H89="",J89="",K89="",L89="",M89="",N89="",O89="",P89="",Q89="",R89="",S89=""),"",IFERROR(LOOKUP(2,1/(('AUTO ENGINE'!$A$2:$A$1201=ROW())*('AUTO ENGINE'!$M$2:$M$1201=1)),'AUTO ENGINE'!$B$2:$B$1201),"NO CABLE PASSES"))</f>
        <v/>
      </c>
      <c r="H89" s="73" t="s">
        <v>133</v>
      </c>
      <c r="I89" s="72">
        <f t="shared" si="82"/>
        <v>0</v>
      </c>
      <c r="J89" s="73">
        <v>1</v>
      </c>
      <c r="K89" s="73">
        <v>415</v>
      </c>
      <c r="L89" s="73">
        <v>0.53</v>
      </c>
      <c r="M89" s="73">
        <v>0.85</v>
      </c>
      <c r="N89" s="73">
        <v>0.95399999999999996</v>
      </c>
      <c r="O89" s="73"/>
      <c r="P89" s="73">
        <v>1.5</v>
      </c>
      <c r="Q89" s="73">
        <v>0.3</v>
      </c>
      <c r="R89" s="72">
        <f t="shared" si="83"/>
        <v>0</v>
      </c>
      <c r="S89" s="73">
        <v>0.2</v>
      </c>
      <c r="T89" s="72">
        <f t="shared" si="84"/>
        <v>0</v>
      </c>
      <c r="U89" s="72">
        <f t="shared" si="120"/>
        <v>0</v>
      </c>
      <c r="V89" s="72">
        <f t="shared" si="85"/>
        <v>0</v>
      </c>
      <c r="W89" s="72">
        <f t="shared" si="86"/>
        <v>0</v>
      </c>
      <c r="X89" s="72">
        <f t="shared" si="87"/>
        <v>0</v>
      </c>
      <c r="Y89" s="72">
        <f t="shared" si="88"/>
        <v>0</v>
      </c>
      <c r="Z89" s="72" t="str">
        <f t="shared" si="89"/>
        <v>PASS</v>
      </c>
      <c r="AA89" s="72">
        <f t="shared" si="90"/>
        <v>0</v>
      </c>
      <c r="AB89" s="72">
        <f t="shared" si="91"/>
        <v>0.95393920141694566</v>
      </c>
      <c r="AC89" s="72">
        <f t="shared" si="92"/>
        <v>0</v>
      </c>
      <c r="AD89" s="72">
        <f t="shared" si="93"/>
        <v>0</v>
      </c>
      <c r="AE89" s="72">
        <f t="shared" si="94"/>
        <v>0</v>
      </c>
      <c r="AF89" s="72" t="str">
        <f>IF(OR(AE89="",AD89=""),"",IF(AE89&lt;='OS-DORAEN'!$B$6,"PASS","FAIL"))</f>
        <v>PASS</v>
      </c>
      <c r="AG89" s="72">
        <f t="shared" si="95"/>
        <v>0.52678268764263703</v>
      </c>
      <c r="AH89" s="72">
        <f t="shared" si="96"/>
        <v>0</v>
      </c>
      <c r="AI89" s="72">
        <f t="shared" si="97"/>
        <v>0</v>
      </c>
      <c r="AJ89" s="72">
        <f t="shared" si="98"/>
        <v>0</v>
      </c>
      <c r="AK89" s="72" t="str">
        <f>IF(OR(AJ89="",AI89=""),"",IF(AJ89&lt;='OS-DORAEN'!$B$5,"PASS","FAIL"))</f>
        <v>PASS</v>
      </c>
      <c r="AL89" s="72" t="str">
        <f t="shared" si="99"/>
        <v/>
      </c>
      <c r="AM89" s="72" t="str">
        <f t="shared" si="100"/>
        <v/>
      </c>
      <c r="AN89" s="72" t="str">
        <f t="shared" si="101"/>
        <v/>
      </c>
      <c r="AO89" s="72" t="str">
        <f t="shared" si="102"/>
        <v>PASS</v>
      </c>
      <c r="AP89" s="72" t="str">
        <f t="shared" si="103"/>
        <v/>
      </c>
      <c r="AQ89" s="72" t="str">
        <f t="shared" si="104"/>
        <v/>
      </c>
      <c r="AR89" s="72" t="str">
        <f t="shared" si="121"/>
        <v/>
      </c>
      <c r="AS89" s="72">
        <f t="shared" si="105"/>
        <v>0</v>
      </c>
      <c r="AT89" s="72">
        <f>IF(AS89="","",IF(AS89&lt;=Lists!$J$2,Lists!$J$2,IFERROR(INDEX(Lists!$J$2:$J$28,IF(INDEX(Lists!$J$2:$J$28,MATCH(AS89,Lists!$J$2:$J$28,1))=AS89,MATCH(AS89,Lists!$J$2:$J$28,1),MATCH(AS89,Lists!$J$2:$J$28,1)+1)),"NO STANDARD CB")))</f>
        <v>16</v>
      </c>
      <c r="AU89" s="72" t="str">
        <f t="shared" si="106"/>
        <v>Manufacturer-specific adjustable trip unit</v>
      </c>
      <c r="AV89" s="72">
        <f t="shared" si="107"/>
        <v>0</v>
      </c>
      <c r="AW89" s="72" t="str">
        <f t="shared" si="108"/>
        <v>Verify manufacturer instantaneous/magnetic pickup</v>
      </c>
      <c r="AX89" s="72" t="str">
        <f t="shared" si="109"/>
        <v>VERIFY MANUFACTURER</v>
      </c>
      <c r="AY89" s="72" t="str">
        <f t="shared" si="110"/>
        <v>PASS</v>
      </c>
      <c r="AZ89" s="72" t="str">
        <f t="shared" si="111"/>
        <v>16 A MCCB; target Ir 0.0 A; manufacturer trip-unit verification required</v>
      </c>
      <c r="BA89" s="73"/>
      <c r="BB89" s="72" t="str">
        <f t="shared" si="112"/>
        <v>ENTER CB Icu/Ics</v>
      </c>
      <c r="BC89" s="72" t="str">
        <f t="shared" si="113"/>
        <v>Enter manufacturer CB Icu/Ics. Required ≥ 0.00 kA</v>
      </c>
      <c r="BD89" s="72" t="str">
        <f>IF(OR(AS89="",AT89="",AV89=""),"",IF(AND(AT89&gt;=AS89,COUNTIF(Lists!$J$2:$J$28,AT89)&gt;0,AV89&gt;=AS89,AV89&lt;=AT89),"PASS","FAIL - REVIEW MCCB FRAME/TRIP UNIT"))</f>
        <v>PASS</v>
      </c>
      <c r="BE89" s="86"/>
      <c r="BF89" s="86" t="str">
        <f t="shared" si="114"/>
        <v>XLPE</v>
      </c>
      <c r="BG89" s="86" t="str">
        <f t="shared" si="115"/>
        <v>3C</v>
      </c>
      <c r="BH89" s="86" t="str">
        <f t="shared" si="116"/>
        <v>Al</v>
      </c>
      <c r="BI89" s="86" t="str">
        <f t="shared" si="117"/>
        <v>XLPE</v>
      </c>
      <c r="BJ89" s="86" t="str">
        <f t="shared" si="118"/>
        <v>Armoured</v>
      </c>
      <c r="BK89" s="86" t="str">
        <f t="shared" si="119"/>
        <v/>
      </c>
      <c r="BL89" s="86">
        <f>IFERROR(SUMIFS('Cable Data Master'!$K:$K,'Cable Data Master'!$A:$A,$BF89,'Cable Data Master'!$B:$B,$BG89,'Cable Data Master'!$C:$C,$BH89,'Cable Data Master'!$D:$D,$BI89,'Cable Data Master'!$E:$E,$BJ89,'Cable Data Master'!$F:$F,$BK89),"")</f>
        <v>0</v>
      </c>
      <c r="BM89" s="86">
        <f>IFERROR(SUMIFS('Cable Data Master'!$L:$L,'Cable Data Master'!$A:$A,$BF89,'Cable Data Master'!$B:$B,$BG89,'Cable Data Master'!$C:$C,$BH89,'Cable Data Master'!$D:$D,$BI89,'Cable Data Master'!$E:$E,$BJ89,'Cable Data Master'!$F:$F,$BK89),"")</f>
        <v>0</v>
      </c>
      <c r="BN89" s="86">
        <f>IFERROR(SUMIFS('Cable Data Master'!$G:$G,'Cable Data Master'!$A:$A,$BF89,'Cable Data Master'!$B:$B,$BG89,'Cable Data Master'!$C:$C,$BH89,'Cable Data Master'!$D:$D,$BI89,'Cable Data Master'!$E:$E,$BJ89,'Cable Data Master'!$F:$F,$BK89),"")</f>
        <v>0</v>
      </c>
      <c r="BO89" s="86">
        <f>IFERROR(SUMIFS('Cable Data Master'!$H:$H,'Cable Data Master'!$A:$A,$BF89,'Cable Data Master'!$B:$B,$BG89,'Cable Data Master'!$C:$C,$BH89,'Cable Data Master'!$D:$D,$BI89,'Cable Data Master'!$E:$E,$BJ89,'Cable Data Master'!$F:$F,$BK89),"")</f>
        <v>0</v>
      </c>
      <c r="BP89" s="86">
        <f>IFERROR(SUMIFS('Cable Data Master'!$I:$I,'Cable Data Master'!$A:$A,$BF89,'Cable Data Master'!$B:$B,$BG89,'Cable Data Master'!$C:$C,$BH89,'Cable Data Master'!$D:$D,$BI89,'Cable Data Master'!$E:$E,$BJ89,'Cable Data Master'!$F:$F,$BK89),"")</f>
        <v>0</v>
      </c>
      <c r="BQ89" s="86">
        <f>IFERROR(SUMIFS('Cable Data Master'!$J:$J,'Cable Data Master'!$A:$A,$BF89,'Cable Data Master'!$B:$B,$BG89,'Cable Data Master'!$C:$C,$BH89,'Cable Data Master'!$D:$D,$BI89,'Cable Data Master'!$E:$E,$BJ89,'Cable Data Master'!$F:$F,$BK89),"")</f>
        <v>0</v>
      </c>
      <c r="BR89" s="86"/>
    </row>
    <row r="90" spans="1:70" s="87" customFormat="1" ht="30" customHeight="1" x14ac:dyDescent="0.35">
      <c r="A90" s="72">
        <v>87</v>
      </c>
      <c r="B90" s="73"/>
      <c r="C90" s="73"/>
      <c r="D90" s="74">
        <v>4.5</v>
      </c>
      <c r="E90" s="74"/>
      <c r="F90" s="74" t="s">
        <v>132</v>
      </c>
      <c r="G90" s="72" t="str">
        <f>IF(OR(C90="",D90="",E90="",H90="",J90="",K90="",L90="",M90="",N90="",O90="",P90="",Q90="",R90="",S90=""),"",IFERROR(LOOKUP(2,1/(('AUTO ENGINE'!$A$2:$A$1201=ROW())*('AUTO ENGINE'!$M$2:$M$1201=1)),'AUTO ENGINE'!$B$2:$B$1201),"NO CABLE PASSES"))</f>
        <v/>
      </c>
      <c r="H90" s="73" t="s">
        <v>133</v>
      </c>
      <c r="I90" s="72">
        <f t="shared" si="82"/>
        <v>0</v>
      </c>
      <c r="J90" s="73">
        <v>1</v>
      </c>
      <c r="K90" s="73">
        <v>415</v>
      </c>
      <c r="L90" s="73">
        <v>0.53</v>
      </c>
      <c r="M90" s="73">
        <v>0.85</v>
      </c>
      <c r="N90" s="73">
        <v>0.95399999999999996</v>
      </c>
      <c r="O90" s="73"/>
      <c r="P90" s="73">
        <v>1.5</v>
      </c>
      <c r="Q90" s="73">
        <v>0.3</v>
      </c>
      <c r="R90" s="72">
        <f t="shared" si="83"/>
        <v>0</v>
      </c>
      <c r="S90" s="73">
        <v>0.2</v>
      </c>
      <c r="T90" s="72">
        <f t="shared" si="84"/>
        <v>0</v>
      </c>
      <c r="U90" s="72">
        <f t="shared" si="120"/>
        <v>0</v>
      </c>
      <c r="V90" s="72">
        <f t="shared" si="85"/>
        <v>0</v>
      </c>
      <c r="W90" s="72">
        <f t="shared" si="86"/>
        <v>0</v>
      </c>
      <c r="X90" s="72">
        <f t="shared" si="87"/>
        <v>0</v>
      </c>
      <c r="Y90" s="72">
        <f t="shared" si="88"/>
        <v>0</v>
      </c>
      <c r="Z90" s="72" t="str">
        <f t="shared" si="89"/>
        <v>PASS</v>
      </c>
      <c r="AA90" s="72">
        <f t="shared" si="90"/>
        <v>0</v>
      </c>
      <c r="AB90" s="72">
        <f t="shared" si="91"/>
        <v>0.95393920141694566</v>
      </c>
      <c r="AC90" s="72">
        <f t="shared" si="92"/>
        <v>0</v>
      </c>
      <c r="AD90" s="72">
        <f t="shared" si="93"/>
        <v>0</v>
      </c>
      <c r="AE90" s="72">
        <f t="shared" si="94"/>
        <v>0</v>
      </c>
      <c r="AF90" s="72" t="str">
        <f>IF(OR(AE90="",AD90=""),"",IF(AE90&lt;='OS-DORAEN'!$B$6,"PASS","FAIL"))</f>
        <v>PASS</v>
      </c>
      <c r="AG90" s="72">
        <f t="shared" si="95"/>
        <v>0.52678268764263703</v>
      </c>
      <c r="AH90" s="72">
        <f t="shared" si="96"/>
        <v>0</v>
      </c>
      <c r="AI90" s="72">
        <f t="shared" si="97"/>
        <v>0</v>
      </c>
      <c r="AJ90" s="72">
        <f t="shared" si="98"/>
        <v>0</v>
      </c>
      <c r="AK90" s="72" t="str">
        <f>IF(OR(AJ90="",AI90=""),"",IF(AJ90&lt;='OS-DORAEN'!$B$5,"PASS","FAIL"))</f>
        <v>PASS</v>
      </c>
      <c r="AL90" s="72" t="str">
        <f t="shared" si="99"/>
        <v/>
      </c>
      <c r="AM90" s="72" t="str">
        <f t="shared" si="100"/>
        <v/>
      </c>
      <c r="AN90" s="72" t="str">
        <f t="shared" si="101"/>
        <v/>
      </c>
      <c r="AO90" s="72" t="str">
        <f t="shared" si="102"/>
        <v>PASS</v>
      </c>
      <c r="AP90" s="72" t="str">
        <f t="shared" si="103"/>
        <v/>
      </c>
      <c r="AQ90" s="72" t="str">
        <f t="shared" si="104"/>
        <v/>
      </c>
      <c r="AR90" s="72" t="str">
        <f t="shared" si="121"/>
        <v/>
      </c>
      <c r="AS90" s="72">
        <f t="shared" si="105"/>
        <v>0</v>
      </c>
      <c r="AT90" s="72">
        <f>IF(AS90="","",IF(AS90&lt;=Lists!$J$2,Lists!$J$2,IFERROR(INDEX(Lists!$J$2:$J$28,IF(INDEX(Lists!$J$2:$J$28,MATCH(AS90,Lists!$J$2:$J$28,1))=AS90,MATCH(AS90,Lists!$J$2:$J$28,1),MATCH(AS90,Lists!$J$2:$J$28,1)+1)),"NO STANDARD CB")))</f>
        <v>16</v>
      </c>
      <c r="AU90" s="72" t="str">
        <f t="shared" si="106"/>
        <v>Manufacturer-specific adjustable trip unit</v>
      </c>
      <c r="AV90" s="72">
        <f t="shared" si="107"/>
        <v>0</v>
      </c>
      <c r="AW90" s="72" t="str">
        <f t="shared" si="108"/>
        <v>Verify manufacturer instantaneous/magnetic pickup</v>
      </c>
      <c r="AX90" s="72" t="str">
        <f t="shared" si="109"/>
        <v>VERIFY MANUFACTURER</v>
      </c>
      <c r="AY90" s="72" t="str">
        <f t="shared" si="110"/>
        <v>PASS</v>
      </c>
      <c r="AZ90" s="72" t="str">
        <f t="shared" si="111"/>
        <v>16 A MCCB; target Ir 0.0 A; manufacturer trip-unit verification required</v>
      </c>
      <c r="BA90" s="73"/>
      <c r="BB90" s="72" t="str">
        <f t="shared" si="112"/>
        <v>ENTER CB Icu/Ics</v>
      </c>
      <c r="BC90" s="72" t="str">
        <f t="shared" si="113"/>
        <v>Enter manufacturer CB Icu/Ics. Required ≥ 0.00 kA</v>
      </c>
      <c r="BD90" s="72" t="str">
        <f>IF(OR(AS90="",AT90="",AV90=""),"",IF(AND(AT90&gt;=AS90,COUNTIF(Lists!$J$2:$J$28,AT90)&gt;0,AV90&gt;=AS90,AV90&lt;=AT90),"PASS","FAIL - REVIEW MCCB FRAME/TRIP UNIT"))</f>
        <v>PASS</v>
      </c>
      <c r="BE90" s="86"/>
      <c r="BF90" s="86" t="str">
        <f t="shared" si="114"/>
        <v>XLPE</v>
      </c>
      <c r="BG90" s="86" t="str">
        <f t="shared" si="115"/>
        <v>3C</v>
      </c>
      <c r="BH90" s="86" t="str">
        <f t="shared" si="116"/>
        <v>Al</v>
      </c>
      <c r="BI90" s="86" t="str">
        <f t="shared" si="117"/>
        <v>XLPE</v>
      </c>
      <c r="BJ90" s="86" t="str">
        <f t="shared" si="118"/>
        <v>Armoured</v>
      </c>
      <c r="BK90" s="86" t="str">
        <f t="shared" si="119"/>
        <v/>
      </c>
      <c r="BL90" s="86">
        <f>IFERROR(SUMIFS('Cable Data Master'!$K:$K,'Cable Data Master'!$A:$A,$BF90,'Cable Data Master'!$B:$B,$BG90,'Cable Data Master'!$C:$C,$BH90,'Cable Data Master'!$D:$D,$BI90,'Cable Data Master'!$E:$E,$BJ90,'Cable Data Master'!$F:$F,$BK90),"")</f>
        <v>0</v>
      </c>
      <c r="BM90" s="86">
        <f>IFERROR(SUMIFS('Cable Data Master'!$L:$L,'Cable Data Master'!$A:$A,$BF90,'Cable Data Master'!$B:$B,$BG90,'Cable Data Master'!$C:$C,$BH90,'Cable Data Master'!$D:$D,$BI90,'Cable Data Master'!$E:$E,$BJ90,'Cable Data Master'!$F:$F,$BK90),"")</f>
        <v>0</v>
      </c>
      <c r="BN90" s="86">
        <f>IFERROR(SUMIFS('Cable Data Master'!$G:$G,'Cable Data Master'!$A:$A,$BF90,'Cable Data Master'!$B:$B,$BG90,'Cable Data Master'!$C:$C,$BH90,'Cable Data Master'!$D:$D,$BI90,'Cable Data Master'!$E:$E,$BJ90,'Cable Data Master'!$F:$F,$BK90),"")</f>
        <v>0</v>
      </c>
      <c r="BO90" s="86">
        <f>IFERROR(SUMIFS('Cable Data Master'!$H:$H,'Cable Data Master'!$A:$A,$BF90,'Cable Data Master'!$B:$B,$BG90,'Cable Data Master'!$C:$C,$BH90,'Cable Data Master'!$D:$D,$BI90,'Cable Data Master'!$E:$E,$BJ90,'Cable Data Master'!$F:$F,$BK90),"")</f>
        <v>0</v>
      </c>
      <c r="BP90" s="86">
        <f>IFERROR(SUMIFS('Cable Data Master'!$I:$I,'Cable Data Master'!$A:$A,$BF90,'Cable Data Master'!$B:$B,$BG90,'Cable Data Master'!$C:$C,$BH90,'Cable Data Master'!$D:$D,$BI90,'Cable Data Master'!$E:$E,$BJ90,'Cable Data Master'!$F:$F,$BK90),"")</f>
        <v>0</v>
      </c>
      <c r="BQ90" s="86">
        <f>IFERROR(SUMIFS('Cable Data Master'!$J:$J,'Cable Data Master'!$A:$A,$BF90,'Cable Data Master'!$B:$B,$BG90,'Cable Data Master'!$C:$C,$BH90,'Cable Data Master'!$D:$D,$BI90,'Cable Data Master'!$E:$E,$BJ90,'Cable Data Master'!$F:$F,$BK90),"")</f>
        <v>0</v>
      </c>
      <c r="BR90" s="86"/>
    </row>
    <row r="91" spans="1:70" s="87" customFormat="1" ht="30" customHeight="1" x14ac:dyDescent="0.35">
      <c r="A91" s="72">
        <v>88</v>
      </c>
      <c r="B91" s="73"/>
      <c r="C91" s="73"/>
      <c r="D91" s="74">
        <v>4.5</v>
      </c>
      <c r="E91" s="74"/>
      <c r="F91" s="74" t="s">
        <v>132</v>
      </c>
      <c r="G91" s="72" t="str">
        <f>IF(OR(C91="",D91="",E91="",H91="",J91="",K91="",L91="",M91="",N91="",O91="",P91="",Q91="",R91="",S91=""),"",IFERROR(LOOKUP(2,1/(('AUTO ENGINE'!$A$2:$A$1201=ROW())*('AUTO ENGINE'!$M$2:$M$1201=1)),'AUTO ENGINE'!$B$2:$B$1201),"NO CABLE PASSES"))</f>
        <v/>
      </c>
      <c r="H91" s="73" t="s">
        <v>133</v>
      </c>
      <c r="I91" s="72">
        <f t="shared" si="82"/>
        <v>0</v>
      </c>
      <c r="J91" s="73">
        <v>1</v>
      </c>
      <c r="K91" s="73">
        <v>415</v>
      </c>
      <c r="L91" s="73">
        <v>0.53</v>
      </c>
      <c r="M91" s="73">
        <v>0.85</v>
      </c>
      <c r="N91" s="73">
        <v>0.95399999999999996</v>
      </c>
      <c r="O91" s="73"/>
      <c r="P91" s="73">
        <v>1.5</v>
      </c>
      <c r="Q91" s="73">
        <v>0.3</v>
      </c>
      <c r="R91" s="72">
        <f t="shared" si="83"/>
        <v>0</v>
      </c>
      <c r="S91" s="73">
        <v>0.2</v>
      </c>
      <c r="T91" s="72">
        <f t="shared" si="84"/>
        <v>0</v>
      </c>
      <c r="U91" s="72">
        <f t="shared" si="120"/>
        <v>0</v>
      </c>
      <c r="V91" s="72">
        <f t="shared" si="85"/>
        <v>0</v>
      </c>
      <c r="W91" s="72">
        <f t="shared" si="86"/>
        <v>0</v>
      </c>
      <c r="X91" s="72">
        <f t="shared" si="87"/>
        <v>0</v>
      </c>
      <c r="Y91" s="72">
        <f t="shared" si="88"/>
        <v>0</v>
      </c>
      <c r="Z91" s="72" t="str">
        <f t="shared" si="89"/>
        <v>PASS</v>
      </c>
      <c r="AA91" s="72">
        <f t="shared" si="90"/>
        <v>0</v>
      </c>
      <c r="AB91" s="72">
        <f t="shared" si="91"/>
        <v>0.95393920141694566</v>
      </c>
      <c r="AC91" s="72">
        <f t="shared" si="92"/>
        <v>0</v>
      </c>
      <c r="AD91" s="72">
        <f t="shared" si="93"/>
        <v>0</v>
      </c>
      <c r="AE91" s="72">
        <f t="shared" si="94"/>
        <v>0</v>
      </c>
      <c r="AF91" s="72" t="str">
        <f>IF(OR(AE91="",AD91=""),"",IF(AE91&lt;='OS-DORAEN'!$B$6,"PASS","FAIL"))</f>
        <v>PASS</v>
      </c>
      <c r="AG91" s="72">
        <f t="shared" si="95"/>
        <v>0.52678268764263703</v>
      </c>
      <c r="AH91" s="72">
        <f t="shared" si="96"/>
        <v>0</v>
      </c>
      <c r="AI91" s="72">
        <f t="shared" si="97"/>
        <v>0</v>
      </c>
      <c r="AJ91" s="72">
        <f t="shared" si="98"/>
        <v>0</v>
      </c>
      <c r="AK91" s="72" t="str">
        <f>IF(OR(AJ91="",AI91=""),"",IF(AJ91&lt;='OS-DORAEN'!$B$5,"PASS","FAIL"))</f>
        <v>PASS</v>
      </c>
      <c r="AL91" s="72" t="str">
        <f t="shared" si="99"/>
        <v/>
      </c>
      <c r="AM91" s="72" t="str">
        <f t="shared" si="100"/>
        <v/>
      </c>
      <c r="AN91" s="72" t="str">
        <f t="shared" si="101"/>
        <v/>
      </c>
      <c r="AO91" s="72" t="str">
        <f t="shared" si="102"/>
        <v>PASS</v>
      </c>
      <c r="AP91" s="72" t="str">
        <f t="shared" si="103"/>
        <v/>
      </c>
      <c r="AQ91" s="72" t="str">
        <f t="shared" si="104"/>
        <v/>
      </c>
      <c r="AR91" s="72" t="str">
        <f t="shared" si="121"/>
        <v/>
      </c>
      <c r="AS91" s="72">
        <f t="shared" si="105"/>
        <v>0</v>
      </c>
      <c r="AT91" s="72">
        <f>IF(AS91="","",IF(AS91&lt;=Lists!$J$2,Lists!$J$2,IFERROR(INDEX(Lists!$J$2:$J$28,IF(INDEX(Lists!$J$2:$J$28,MATCH(AS91,Lists!$J$2:$J$28,1))=AS91,MATCH(AS91,Lists!$J$2:$J$28,1),MATCH(AS91,Lists!$J$2:$J$28,1)+1)),"NO STANDARD CB")))</f>
        <v>16</v>
      </c>
      <c r="AU91" s="72" t="str">
        <f t="shared" si="106"/>
        <v>Manufacturer-specific adjustable trip unit</v>
      </c>
      <c r="AV91" s="72">
        <f t="shared" si="107"/>
        <v>0</v>
      </c>
      <c r="AW91" s="72" t="str">
        <f t="shared" si="108"/>
        <v>Verify manufacturer instantaneous/magnetic pickup</v>
      </c>
      <c r="AX91" s="72" t="str">
        <f t="shared" si="109"/>
        <v>VERIFY MANUFACTURER</v>
      </c>
      <c r="AY91" s="72" t="str">
        <f t="shared" si="110"/>
        <v>PASS</v>
      </c>
      <c r="AZ91" s="72" t="str">
        <f t="shared" si="111"/>
        <v>16 A MCCB; target Ir 0.0 A; manufacturer trip-unit verification required</v>
      </c>
      <c r="BA91" s="73"/>
      <c r="BB91" s="72" t="str">
        <f t="shared" si="112"/>
        <v>ENTER CB Icu/Ics</v>
      </c>
      <c r="BC91" s="72" t="str">
        <f t="shared" si="113"/>
        <v>Enter manufacturer CB Icu/Ics. Required ≥ 0.00 kA</v>
      </c>
      <c r="BD91" s="72" t="str">
        <f>IF(OR(AS91="",AT91="",AV91=""),"",IF(AND(AT91&gt;=AS91,COUNTIF(Lists!$J$2:$J$28,AT91)&gt;0,AV91&gt;=AS91,AV91&lt;=AT91),"PASS","FAIL - REVIEW MCCB FRAME/TRIP UNIT"))</f>
        <v>PASS</v>
      </c>
      <c r="BE91" s="86"/>
      <c r="BF91" s="86" t="str">
        <f t="shared" si="114"/>
        <v>XLPE</v>
      </c>
      <c r="BG91" s="86" t="str">
        <f t="shared" si="115"/>
        <v>3C</v>
      </c>
      <c r="BH91" s="86" t="str">
        <f t="shared" si="116"/>
        <v>Al</v>
      </c>
      <c r="BI91" s="86" t="str">
        <f t="shared" si="117"/>
        <v>XLPE</v>
      </c>
      <c r="BJ91" s="86" t="str">
        <f t="shared" si="118"/>
        <v>Armoured</v>
      </c>
      <c r="BK91" s="86" t="str">
        <f t="shared" si="119"/>
        <v/>
      </c>
      <c r="BL91" s="86">
        <f>IFERROR(SUMIFS('Cable Data Master'!$K:$K,'Cable Data Master'!$A:$A,$BF91,'Cable Data Master'!$B:$B,$BG91,'Cable Data Master'!$C:$C,$BH91,'Cable Data Master'!$D:$D,$BI91,'Cable Data Master'!$E:$E,$BJ91,'Cable Data Master'!$F:$F,$BK91),"")</f>
        <v>0</v>
      </c>
      <c r="BM91" s="86">
        <f>IFERROR(SUMIFS('Cable Data Master'!$L:$L,'Cable Data Master'!$A:$A,$BF91,'Cable Data Master'!$B:$B,$BG91,'Cable Data Master'!$C:$C,$BH91,'Cable Data Master'!$D:$D,$BI91,'Cable Data Master'!$E:$E,$BJ91,'Cable Data Master'!$F:$F,$BK91),"")</f>
        <v>0</v>
      </c>
      <c r="BN91" s="86">
        <f>IFERROR(SUMIFS('Cable Data Master'!$G:$G,'Cable Data Master'!$A:$A,$BF91,'Cable Data Master'!$B:$B,$BG91,'Cable Data Master'!$C:$C,$BH91,'Cable Data Master'!$D:$D,$BI91,'Cable Data Master'!$E:$E,$BJ91,'Cable Data Master'!$F:$F,$BK91),"")</f>
        <v>0</v>
      </c>
      <c r="BO91" s="86">
        <f>IFERROR(SUMIFS('Cable Data Master'!$H:$H,'Cable Data Master'!$A:$A,$BF91,'Cable Data Master'!$B:$B,$BG91,'Cable Data Master'!$C:$C,$BH91,'Cable Data Master'!$D:$D,$BI91,'Cable Data Master'!$E:$E,$BJ91,'Cable Data Master'!$F:$F,$BK91),"")</f>
        <v>0</v>
      </c>
      <c r="BP91" s="86">
        <f>IFERROR(SUMIFS('Cable Data Master'!$I:$I,'Cable Data Master'!$A:$A,$BF91,'Cable Data Master'!$B:$B,$BG91,'Cable Data Master'!$C:$C,$BH91,'Cable Data Master'!$D:$D,$BI91,'Cable Data Master'!$E:$E,$BJ91,'Cable Data Master'!$F:$F,$BK91),"")</f>
        <v>0</v>
      </c>
      <c r="BQ91" s="86">
        <f>IFERROR(SUMIFS('Cable Data Master'!$J:$J,'Cable Data Master'!$A:$A,$BF91,'Cable Data Master'!$B:$B,$BG91,'Cable Data Master'!$C:$C,$BH91,'Cable Data Master'!$D:$D,$BI91,'Cable Data Master'!$E:$E,$BJ91,'Cable Data Master'!$F:$F,$BK91),"")</f>
        <v>0</v>
      </c>
      <c r="BR91" s="86"/>
    </row>
    <row r="92" spans="1:70" s="87" customFormat="1" ht="30" customHeight="1" x14ac:dyDescent="0.35">
      <c r="A92" s="72">
        <v>89</v>
      </c>
      <c r="B92" s="73"/>
      <c r="C92" s="73"/>
      <c r="D92" s="74">
        <v>4.5</v>
      </c>
      <c r="E92" s="74"/>
      <c r="F92" s="74" t="s">
        <v>132</v>
      </c>
      <c r="G92" s="72" t="str">
        <f>IF(OR(C92="",D92="",E92="",H92="",J92="",K92="",L92="",M92="",N92="",O92="",P92="",Q92="",R92="",S92=""),"",IFERROR(LOOKUP(2,1/(('AUTO ENGINE'!$A$2:$A$1201=ROW())*('AUTO ENGINE'!$M$2:$M$1201=1)),'AUTO ENGINE'!$B$2:$B$1201),"NO CABLE PASSES"))</f>
        <v/>
      </c>
      <c r="H92" s="73" t="s">
        <v>133</v>
      </c>
      <c r="I92" s="72">
        <f t="shared" si="82"/>
        <v>0</v>
      </c>
      <c r="J92" s="73">
        <v>1</v>
      </c>
      <c r="K92" s="73">
        <v>415</v>
      </c>
      <c r="L92" s="73">
        <v>0.53</v>
      </c>
      <c r="M92" s="73">
        <v>0.85</v>
      </c>
      <c r="N92" s="73">
        <v>0.95399999999999996</v>
      </c>
      <c r="O92" s="73"/>
      <c r="P92" s="73">
        <v>1.5</v>
      </c>
      <c r="Q92" s="73">
        <v>0.3</v>
      </c>
      <c r="R92" s="72">
        <f t="shared" si="83"/>
        <v>0</v>
      </c>
      <c r="S92" s="73">
        <v>0.2</v>
      </c>
      <c r="T92" s="72">
        <f t="shared" si="84"/>
        <v>0</v>
      </c>
      <c r="U92" s="72">
        <f t="shared" si="120"/>
        <v>0</v>
      </c>
      <c r="V92" s="72">
        <f t="shared" si="85"/>
        <v>0</v>
      </c>
      <c r="W92" s="72">
        <f t="shared" si="86"/>
        <v>0</v>
      </c>
      <c r="X92" s="72">
        <f t="shared" si="87"/>
        <v>0</v>
      </c>
      <c r="Y92" s="72">
        <f t="shared" si="88"/>
        <v>0</v>
      </c>
      <c r="Z92" s="72" t="str">
        <f t="shared" si="89"/>
        <v>PASS</v>
      </c>
      <c r="AA92" s="72">
        <f t="shared" si="90"/>
        <v>0</v>
      </c>
      <c r="AB92" s="72">
        <f t="shared" si="91"/>
        <v>0.95393920141694566</v>
      </c>
      <c r="AC92" s="72">
        <f t="shared" si="92"/>
        <v>0</v>
      </c>
      <c r="AD92" s="72">
        <f t="shared" si="93"/>
        <v>0</v>
      </c>
      <c r="AE92" s="72">
        <f t="shared" si="94"/>
        <v>0</v>
      </c>
      <c r="AF92" s="72" t="str">
        <f>IF(OR(AE92="",AD92=""),"",IF(AE92&lt;='OS-DORAEN'!$B$6,"PASS","FAIL"))</f>
        <v>PASS</v>
      </c>
      <c r="AG92" s="72">
        <f t="shared" si="95"/>
        <v>0.52678268764263703</v>
      </c>
      <c r="AH92" s="72">
        <f t="shared" si="96"/>
        <v>0</v>
      </c>
      <c r="AI92" s="72">
        <f t="shared" si="97"/>
        <v>0</v>
      </c>
      <c r="AJ92" s="72">
        <f t="shared" si="98"/>
        <v>0</v>
      </c>
      <c r="AK92" s="72" t="str">
        <f>IF(OR(AJ92="",AI92=""),"",IF(AJ92&lt;='OS-DORAEN'!$B$5,"PASS","FAIL"))</f>
        <v>PASS</v>
      </c>
      <c r="AL92" s="72" t="str">
        <f t="shared" si="99"/>
        <v/>
      </c>
      <c r="AM92" s="72" t="str">
        <f t="shared" si="100"/>
        <v/>
      </c>
      <c r="AN92" s="72" t="str">
        <f t="shared" si="101"/>
        <v/>
      </c>
      <c r="AO92" s="72" t="str">
        <f t="shared" si="102"/>
        <v>PASS</v>
      </c>
      <c r="AP92" s="72" t="str">
        <f t="shared" si="103"/>
        <v/>
      </c>
      <c r="AQ92" s="72" t="str">
        <f t="shared" si="104"/>
        <v/>
      </c>
      <c r="AR92" s="72" t="str">
        <f t="shared" si="121"/>
        <v/>
      </c>
      <c r="AS92" s="72">
        <f t="shared" si="105"/>
        <v>0</v>
      </c>
      <c r="AT92" s="72">
        <f>IF(AS92="","",IF(AS92&lt;=Lists!$J$2,Lists!$J$2,IFERROR(INDEX(Lists!$J$2:$J$28,IF(INDEX(Lists!$J$2:$J$28,MATCH(AS92,Lists!$J$2:$J$28,1))=AS92,MATCH(AS92,Lists!$J$2:$J$28,1),MATCH(AS92,Lists!$J$2:$J$28,1)+1)),"NO STANDARD CB")))</f>
        <v>16</v>
      </c>
      <c r="AU92" s="72" t="str">
        <f t="shared" si="106"/>
        <v>Manufacturer-specific adjustable trip unit</v>
      </c>
      <c r="AV92" s="72">
        <f t="shared" si="107"/>
        <v>0</v>
      </c>
      <c r="AW92" s="72" t="str">
        <f t="shared" si="108"/>
        <v>Verify manufacturer instantaneous/magnetic pickup</v>
      </c>
      <c r="AX92" s="72" t="str">
        <f t="shared" si="109"/>
        <v>VERIFY MANUFACTURER</v>
      </c>
      <c r="AY92" s="72" t="str">
        <f t="shared" si="110"/>
        <v>PASS</v>
      </c>
      <c r="AZ92" s="72" t="str">
        <f t="shared" si="111"/>
        <v>16 A MCCB; target Ir 0.0 A; manufacturer trip-unit verification required</v>
      </c>
      <c r="BA92" s="73"/>
      <c r="BB92" s="72" t="str">
        <f t="shared" si="112"/>
        <v>ENTER CB Icu/Ics</v>
      </c>
      <c r="BC92" s="72" t="str">
        <f t="shared" si="113"/>
        <v>Enter manufacturer CB Icu/Ics. Required ≥ 0.00 kA</v>
      </c>
      <c r="BD92" s="72" t="str">
        <f>IF(OR(AS92="",AT92="",AV92=""),"",IF(AND(AT92&gt;=AS92,COUNTIF(Lists!$J$2:$J$28,AT92)&gt;0,AV92&gt;=AS92,AV92&lt;=AT92),"PASS","FAIL - REVIEW MCCB FRAME/TRIP UNIT"))</f>
        <v>PASS</v>
      </c>
      <c r="BE92" s="86"/>
      <c r="BF92" s="86" t="str">
        <f t="shared" si="114"/>
        <v>XLPE</v>
      </c>
      <c r="BG92" s="86" t="str">
        <f t="shared" si="115"/>
        <v>3C</v>
      </c>
      <c r="BH92" s="86" t="str">
        <f t="shared" si="116"/>
        <v>Al</v>
      </c>
      <c r="BI92" s="86" t="str">
        <f t="shared" si="117"/>
        <v>XLPE</v>
      </c>
      <c r="BJ92" s="86" t="str">
        <f t="shared" si="118"/>
        <v>Armoured</v>
      </c>
      <c r="BK92" s="86" t="str">
        <f t="shared" si="119"/>
        <v/>
      </c>
      <c r="BL92" s="86">
        <f>IFERROR(SUMIFS('Cable Data Master'!$K:$K,'Cable Data Master'!$A:$A,$BF92,'Cable Data Master'!$B:$B,$BG92,'Cable Data Master'!$C:$C,$BH92,'Cable Data Master'!$D:$D,$BI92,'Cable Data Master'!$E:$E,$BJ92,'Cable Data Master'!$F:$F,$BK92),"")</f>
        <v>0</v>
      </c>
      <c r="BM92" s="86">
        <f>IFERROR(SUMIFS('Cable Data Master'!$L:$L,'Cable Data Master'!$A:$A,$BF92,'Cable Data Master'!$B:$B,$BG92,'Cable Data Master'!$C:$C,$BH92,'Cable Data Master'!$D:$D,$BI92,'Cable Data Master'!$E:$E,$BJ92,'Cable Data Master'!$F:$F,$BK92),"")</f>
        <v>0</v>
      </c>
      <c r="BN92" s="86">
        <f>IFERROR(SUMIFS('Cable Data Master'!$G:$G,'Cable Data Master'!$A:$A,$BF92,'Cable Data Master'!$B:$B,$BG92,'Cable Data Master'!$C:$C,$BH92,'Cable Data Master'!$D:$D,$BI92,'Cable Data Master'!$E:$E,$BJ92,'Cable Data Master'!$F:$F,$BK92),"")</f>
        <v>0</v>
      </c>
      <c r="BO92" s="86">
        <f>IFERROR(SUMIFS('Cable Data Master'!$H:$H,'Cable Data Master'!$A:$A,$BF92,'Cable Data Master'!$B:$B,$BG92,'Cable Data Master'!$C:$C,$BH92,'Cable Data Master'!$D:$D,$BI92,'Cable Data Master'!$E:$E,$BJ92,'Cable Data Master'!$F:$F,$BK92),"")</f>
        <v>0</v>
      </c>
      <c r="BP92" s="86">
        <f>IFERROR(SUMIFS('Cable Data Master'!$I:$I,'Cable Data Master'!$A:$A,$BF92,'Cable Data Master'!$B:$B,$BG92,'Cable Data Master'!$C:$C,$BH92,'Cable Data Master'!$D:$D,$BI92,'Cable Data Master'!$E:$E,$BJ92,'Cable Data Master'!$F:$F,$BK92),"")</f>
        <v>0</v>
      </c>
      <c r="BQ92" s="86">
        <f>IFERROR(SUMIFS('Cable Data Master'!$J:$J,'Cable Data Master'!$A:$A,$BF92,'Cable Data Master'!$B:$B,$BG92,'Cable Data Master'!$C:$C,$BH92,'Cable Data Master'!$D:$D,$BI92,'Cable Data Master'!$E:$E,$BJ92,'Cable Data Master'!$F:$F,$BK92),"")</f>
        <v>0</v>
      </c>
      <c r="BR92" s="86"/>
    </row>
    <row r="93" spans="1:70" s="87" customFormat="1" ht="30" customHeight="1" x14ac:dyDescent="0.35">
      <c r="A93" s="72">
        <v>90</v>
      </c>
      <c r="B93" s="73"/>
      <c r="C93" s="73"/>
      <c r="D93" s="74">
        <v>4.5</v>
      </c>
      <c r="E93" s="74"/>
      <c r="F93" s="74" t="s">
        <v>132</v>
      </c>
      <c r="G93" s="72" t="str">
        <f>IF(OR(C93="",D93="",E93="",H93="",J93="",K93="",L93="",M93="",N93="",O93="",P93="",Q93="",R93="",S93=""),"",IFERROR(LOOKUP(2,1/(('AUTO ENGINE'!$A$2:$A$1201=ROW())*('AUTO ENGINE'!$M$2:$M$1201=1)),'AUTO ENGINE'!$B$2:$B$1201),"NO CABLE PASSES"))</f>
        <v/>
      </c>
      <c r="H93" s="73" t="s">
        <v>133</v>
      </c>
      <c r="I93" s="72">
        <f t="shared" si="82"/>
        <v>0</v>
      </c>
      <c r="J93" s="73">
        <v>1</v>
      </c>
      <c r="K93" s="73">
        <v>415</v>
      </c>
      <c r="L93" s="73">
        <v>0.53</v>
      </c>
      <c r="M93" s="73">
        <v>0.85</v>
      </c>
      <c r="N93" s="73">
        <v>0.95399999999999996</v>
      </c>
      <c r="O93" s="73"/>
      <c r="P93" s="73">
        <v>1.5</v>
      </c>
      <c r="Q93" s="73">
        <v>0.3</v>
      </c>
      <c r="R93" s="72">
        <f t="shared" si="83"/>
        <v>0</v>
      </c>
      <c r="S93" s="73">
        <v>0.2</v>
      </c>
      <c r="T93" s="72">
        <f t="shared" si="84"/>
        <v>0</v>
      </c>
      <c r="U93" s="72">
        <f t="shared" si="120"/>
        <v>0</v>
      </c>
      <c r="V93" s="72">
        <f t="shared" si="85"/>
        <v>0</v>
      </c>
      <c r="W93" s="72">
        <f t="shared" si="86"/>
        <v>0</v>
      </c>
      <c r="X93" s="72">
        <f t="shared" si="87"/>
        <v>0</v>
      </c>
      <c r="Y93" s="72">
        <f t="shared" si="88"/>
        <v>0</v>
      </c>
      <c r="Z93" s="72" t="str">
        <f t="shared" si="89"/>
        <v>PASS</v>
      </c>
      <c r="AA93" s="72">
        <f t="shared" si="90"/>
        <v>0</v>
      </c>
      <c r="AB93" s="72">
        <f t="shared" si="91"/>
        <v>0.95393920141694566</v>
      </c>
      <c r="AC93" s="72">
        <f t="shared" si="92"/>
        <v>0</v>
      </c>
      <c r="AD93" s="72">
        <f t="shared" si="93"/>
        <v>0</v>
      </c>
      <c r="AE93" s="72">
        <f t="shared" si="94"/>
        <v>0</v>
      </c>
      <c r="AF93" s="72" t="str">
        <f>IF(OR(AE93="",AD93=""),"",IF(AE93&lt;='OS-DORAEN'!$B$6,"PASS","FAIL"))</f>
        <v>PASS</v>
      </c>
      <c r="AG93" s="72">
        <f t="shared" si="95"/>
        <v>0.52678268764263703</v>
      </c>
      <c r="AH93" s="72">
        <f t="shared" si="96"/>
        <v>0</v>
      </c>
      <c r="AI93" s="72">
        <f t="shared" si="97"/>
        <v>0</v>
      </c>
      <c r="AJ93" s="72">
        <f t="shared" si="98"/>
        <v>0</v>
      </c>
      <c r="AK93" s="72" t="str">
        <f>IF(OR(AJ93="",AI93=""),"",IF(AJ93&lt;='OS-DORAEN'!$B$5,"PASS","FAIL"))</f>
        <v>PASS</v>
      </c>
      <c r="AL93" s="72" t="str">
        <f t="shared" si="99"/>
        <v/>
      </c>
      <c r="AM93" s="72" t="str">
        <f t="shared" si="100"/>
        <v/>
      </c>
      <c r="AN93" s="72" t="str">
        <f t="shared" si="101"/>
        <v/>
      </c>
      <c r="AO93" s="72" t="str">
        <f t="shared" si="102"/>
        <v>PASS</v>
      </c>
      <c r="AP93" s="72" t="str">
        <f t="shared" si="103"/>
        <v/>
      </c>
      <c r="AQ93" s="72" t="str">
        <f t="shared" si="104"/>
        <v/>
      </c>
      <c r="AR93" s="72" t="str">
        <f t="shared" si="121"/>
        <v/>
      </c>
      <c r="AS93" s="72">
        <f t="shared" si="105"/>
        <v>0</v>
      </c>
      <c r="AT93" s="72">
        <f>IF(AS93="","",IF(AS93&lt;=Lists!$J$2,Lists!$J$2,IFERROR(INDEX(Lists!$J$2:$J$28,IF(INDEX(Lists!$J$2:$J$28,MATCH(AS93,Lists!$J$2:$J$28,1))=AS93,MATCH(AS93,Lists!$J$2:$J$28,1),MATCH(AS93,Lists!$J$2:$J$28,1)+1)),"NO STANDARD CB")))</f>
        <v>16</v>
      </c>
      <c r="AU93" s="72" t="str">
        <f t="shared" si="106"/>
        <v>Manufacturer-specific adjustable trip unit</v>
      </c>
      <c r="AV93" s="72">
        <f t="shared" si="107"/>
        <v>0</v>
      </c>
      <c r="AW93" s="72" t="str">
        <f t="shared" si="108"/>
        <v>Verify manufacturer instantaneous/magnetic pickup</v>
      </c>
      <c r="AX93" s="72" t="str">
        <f t="shared" si="109"/>
        <v>VERIFY MANUFACTURER</v>
      </c>
      <c r="AY93" s="72" t="str">
        <f t="shared" si="110"/>
        <v>PASS</v>
      </c>
      <c r="AZ93" s="72" t="str">
        <f t="shared" si="111"/>
        <v>16 A MCCB; target Ir 0.0 A; manufacturer trip-unit verification required</v>
      </c>
      <c r="BA93" s="73"/>
      <c r="BB93" s="72" t="str">
        <f t="shared" si="112"/>
        <v>ENTER CB Icu/Ics</v>
      </c>
      <c r="BC93" s="72" t="str">
        <f t="shared" si="113"/>
        <v>Enter manufacturer CB Icu/Ics. Required ≥ 0.00 kA</v>
      </c>
      <c r="BD93" s="72" t="str">
        <f>IF(OR(AS93="",AT93="",AV93=""),"",IF(AND(AT93&gt;=AS93,COUNTIF(Lists!$J$2:$J$28,AT93)&gt;0,AV93&gt;=AS93,AV93&lt;=AT93),"PASS","FAIL - REVIEW MCCB FRAME/TRIP UNIT"))</f>
        <v>PASS</v>
      </c>
      <c r="BE93" s="86"/>
      <c r="BF93" s="86" t="str">
        <f t="shared" si="114"/>
        <v>XLPE</v>
      </c>
      <c r="BG93" s="86" t="str">
        <f t="shared" si="115"/>
        <v>3C</v>
      </c>
      <c r="BH93" s="86" t="str">
        <f t="shared" si="116"/>
        <v>Al</v>
      </c>
      <c r="BI93" s="86" t="str">
        <f t="shared" si="117"/>
        <v>XLPE</v>
      </c>
      <c r="BJ93" s="86" t="str">
        <f t="shared" si="118"/>
        <v>Armoured</v>
      </c>
      <c r="BK93" s="86" t="str">
        <f t="shared" si="119"/>
        <v/>
      </c>
      <c r="BL93" s="86">
        <f>IFERROR(SUMIFS('Cable Data Master'!$K:$K,'Cable Data Master'!$A:$A,$BF93,'Cable Data Master'!$B:$B,$BG93,'Cable Data Master'!$C:$C,$BH93,'Cable Data Master'!$D:$D,$BI93,'Cable Data Master'!$E:$E,$BJ93,'Cable Data Master'!$F:$F,$BK93),"")</f>
        <v>0</v>
      </c>
      <c r="BM93" s="86">
        <f>IFERROR(SUMIFS('Cable Data Master'!$L:$L,'Cable Data Master'!$A:$A,$BF93,'Cable Data Master'!$B:$B,$BG93,'Cable Data Master'!$C:$C,$BH93,'Cable Data Master'!$D:$D,$BI93,'Cable Data Master'!$E:$E,$BJ93,'Cable Data Master'!$F:$F,$BK93),"")</f>
        <v>0</v>
      </c>
      <c r="BN93" s="86">
        <f>IFERROR(SUMIFS('Cable Data Master'!$G:$G,'Cable Data Master'!$A:$A,$BF93,'Cable Data Master'!$B:$B,$BG93,'Cable Data Master'!$C:$C,$BH93,'Cable Data Master'!$D:$D,$BI93,'Cable Data Master'!$E:$E,$BJ93,'Cable Data Master'!$F:$F,$BK93),"")</f>
        <v>0</v>
      </c>
      <c r="BO93" s="86">
        <f>IFERROR(SUMIFS('Cable Data Master'!$H:$H,'Cable Data Master'!$A:$A,$BF93,'Cable Data Master'!$B:$B,$BG93,'Cable Data Master'!$C:$C,$BH93,'Cable Data Master'!$D:$D,$BI93,'Cable Data Master'!$E:$E,$BJ93,'Cable Data Master'!$F:$F,$BK93),"")</f>
        <v>0</v>
      </c>
      <c r="BP93" s="86">
        <f>IFERROR(SUMIFS('Cable Data Master'!$I:$I,'Cable Data Master'!$A:$A,$BF93,'Cable Data Master'!$B:$B,$BG93,'Cable Data Master'!$C:$C,$BH93,'Cable Data Master'!$D:$D,$BI93,'Cable Data Master'!$E:$E,$BJ93,'Cable Data Master'!$F:$F,$BK93),"")</f>
        <v>0</v>
      </c>
      <c r="BQ93" s="86">
        <f>IFERROR(SUMIFS('Cable Data Master'!$J:$J,'Cable Data Master'!$A:$A,$BF93,'Cable Data Master'!$B:$B,$BG93,'Cable Data Master'!$C:$C,$BH93,'Cable Data Master'!$D:$D,$BI93,'Cable Data Master'!$E:$E,$BJ93,'Cable Data Master'!$F:$F,$BK93),"")</f>
        <v>0</v>
      </c>
      <c r="BR93" s="86"/>
    </row>
    <row r="94" spans="1:70" s="87" customFormat="1" ht="30" customHeight="1" x14ac:dyDescent="0.35">
      <c r="A94" s="72">
        <v>91</v>
      </c>
      <c r="B94" s="73"/>
      <c r="C94" s="73"/>
      <c r="D94" s="74">
        <v>4.5</v>
      </c>
      <c r="E94" s="74"/>
      <c r="F94" s="74" t="s">
        <v>132</v>
      </c>
      <c r="G94" s="72" t="str">
        <f>IF(OR(C94="",D94="",E94="",H94="",J94="",K94="",L94="",M94="",N94="",O94="",P94="",Q94="",R94="",S94=""),"",IFERROR(LOOKUP(2,1/(('AUTO ENGINE'!$A$2:$A$1201=ROW())*('AUTO ENGINE'!$M$2:$M$1201=1)),'AUTO ENGINE'!$B$2:$B$1201),"NO CABLE PASSES"))</f>
        <v/>
      </c>
      <c r="H94" s="73" t="s">
        <v>133</v>
      </c>
      <c r="I94" s="72">
        <f t="shared" si="82"/>
        <v>0</v>
      </c>
      <c r="J94" s="73">
        <v>1</v>
      </c>
      <c r="K94" s="73">
        <v>415</v>
      </c>
      <c r="L94" s="73">
        <v>0.53</v>
      </c>
      <c r="M94" s="73">
        <v>0.85</v>
      </c>
      <c r="N94" s="73">
        <v>0.95399999999999996</v>
      </c>
      <c r="O94" s="73"/>
      <c r="P94" s="73">
        <v>1.5</v>
      </c>
      <c r="Q94" s="73">
        <v>0.3</v>
      </c>
      <c r="R94" s="72">
        <f t="shared" si="83"/>
        <v>0</v>
      </c>
      <c r="S94" s="73">
        <v>0.2</v>
      </c>
      <c r="T94" s="72">
        <f t="shared" si="84"/>
        <v>0</v>
      </c>
      <c r="U94" s="72">
        <f t="shared" si="120"/>
        <v>0</v>
      </c>
      <c r="V94" s="72">
        <f t="shared" si="85"/>
        <v>0</v>
      </c>
      <c r="W94" s="72">
        <f t="shared" si="86"/>
        <v>0</v>
      </c>
      <c r="X94" s="72">
        <f t="shared" si="87"/>
        <v>0</v>
      </c>
      <c r="Y94" s="72">
        <f t="shared" si="88"/>
        <v>0</v>
      </c>
      <c r="Z94" s="72" t="str">
        <f t="shared" si="89"/>
        <v>PASS</v>
      </c>
      <c r="AA94" s="72">
        <f t="shared" si="90"/>
        <v>0</v>
      </c>
      <c r="AB94" s="72">
        <f t="shared" si="91"/>
        <v>0.95393920141694566</v>
      </c>
      <c r="AC94" s="72">
        <f t="shared" si="92"/>
        <v>0</v>
      </c>
      <c r="AD94" s="72">
        <f t="shared" si="93"/>
        <v>0</v>
      </c>
      <c r="AE94" s="72">
        <f t="shared" si="94"/>
        <v>0</v>
      </c>
      <c r="AF94" s="72" t="str">
        <f>IF(OR(AE94="",AD94=""),"",IF(AE94&lt;='OS-DORAEN'!$B$6,"PASS","FAIL"))</f>
        <v>PASS</v>
      </c>
      <c r="AG94" s="72">
        <f t="shared" si="95"/>
        <v>0.52678268764263703</v>
      </c>
      <c r="AH94" s="72">
        <f t="shared" si="96"/>
        <v>0</v>
      </c>
      <c r="AI94" s="72">
        <f t="shared" si="97"/>
        <v>0</v>
      </c>
      <c r="AJ94" s="72">
        <f t="shared" si="98"/>
        <v>0</v>
      </c>
      <c r="AK94" s="72" t="str">
        <f>IF(OR(AJ94="",AI94=""),"",IF(AJ94&lt;='OS-DORAEN'!$B$5,"PASS","FAIL"))</f>
        <v>PASS</v>
      </c>
      <c r="AL94" s="72" t="str">
        <f t="shared" si="99"/>
        <v/>
      </c>
      <c r="AM94" s="72" t="str">
        <f t="shared" si="100"/>
        <v/>
      </c>
      <c r="AN94" s="72" t="str">
        <f t="shared" si="101"/>
        <v/>
      </c>
      <c r="AO94" s="72" t="str">
        <f t="shared" si="102"/>
        <v>PASS</v>
      </c>
      <c r="AP94" s="72" t="str">
        <f t="shared" si="103"/>
        <v/>
      </c>
      <c r="AQ94" s="72" t="str">
        <f t="shared" si="104"/>
        <v/>
      </c>
      <c r="AR94" s="72" t="str">
        <f t="shared" si="121"/>
        <v/>
      </c>
      <c r="AS94" s="72">
        <f t="shared" si="105"/>
        <v>0</v>
      </c>
      <c r="AT94" s="72">
        <f>IF(AS94="","",IF(AS94&lt;=Lists!$J$2,Lists!$J$2,IFERROR(INDEX(Lists!$J$2:$J$28,IF(INDEX(Lists!$J$2:$J$28,MATCH(AS94,Lists!$J$2:$J$28,1))=AS94,MATCH(AS94,Lists!$J$2:$J$28,1),MATCH(AS94,Lists!$J$2:$J$28,1)+1)),"NO STANDARD CB")))</f>
        <v>16</v>
      </c>
      <c r="AU94" s="72" t="str">
        <f t="shared" si="106"/>
        <v>Manufacturer-specific adjustable trip unit</v>
      </c>
      <c r="AV94" s="72">
        <f t="shared" si="107"/>
        <v>0</v>
      </c>
      <c r="AW94" s="72" t="str">
        <f t="shared" si="108"/>
        <v>Verify manufacturer instantaneous/magnetic pickup</v>
      </c>
      <c r="AX94" s="72" t="str">
        <f t="shared" si="109"/>
        <v>VERIFY MANUFACTURER</v>
      </c>
      <c r="AY94" s="72" t="str">
        <f t="shared" si="110"/>
        <v>PASS</v>
      </c>
      <c r="AZ94" s="72" t="str">
        <f t="shared" si="111"/>
        <v>16 A MCCB; target Ir 0.0 A; manufacturer trip-unit verification required</v>
      </c>
      <c r="BA94" s="73"/>
      <c r="BB94" s="72" t="str">
        <f t="shared" si="112"/>
        <v>ENTER CB Icu/Ics</v>
      </c>
      <c r="BC94" s="72" t="str">
        <f t="shared" si="113"/>
        <v>Enter manufacturer CB Icu/Ics. Required ≥ 0.00 kA</v>
      </c>
      <c r="BD94" s="72" t="str">
        <f>IF(OR(AS94="",AT94="",AV94=""),"",IF(AND(AT94&gt;=AS94,COUNTIF(Lists!$J$2:$J$28,AT94)&gt;0,AV94&gt;=AS94,AV94&lt;=AT94),"PASS","FAIL - REVIEW MCCB FRAME/TRIP UNIT"))</f>
        <v>PASS</v>
      </c>
      <c r="BE94" s="86"/>
      <c r="BF94" s="86" t="str">
        <f t="shared" si="114"/>
        <v>XLPE</v>
      </c>
      <c r="BG94" s="86" t="str">
        <f t="shared" si="115"/>
        <v>3C</v>
      </c>
      <c r="BH94" s="86" t="str">
        <f t="shared" si="116"/>
        <v>Al</v>
      </c>
      <c r="BI94" s="86" t="str">
        <f t="shared" si="117"/>
        <v>XLPE</v>
      </c>
      <c r="BJ94" s="86" t="str">
        <f t="shared" si="118"/>
        <v>Armoured</v>
      </c>
      <c r="BK94" s="86" t="str">
        <f t="shared" si="119"/>
        <v/>
      </c>
      <c r="BL94" s="86">
        <f>IFERROR(SUMIFS('Cable Data Master'!$K:$K,'Cable Data Master'!$A:$A,$BF94,'Cable Data Master'!$B:$B,$BG94,'Cable Data Master'!$C:$C,$BH94,'Cable Data Master'!$D:$D,$BI94,'Cable Data Master'!$E:$E,$BJ94,'Cable Data Master'!$F:$F,$BK94),"")</f>
        <v>0</v>
      </c>
      <c r="BM94" s="86">
        <f>IFERROR(SUMIFS('Cable Data Master'!$L:$L,'Cable Data Master'!$A:$A,$BF94,'Cable Data Master'!$B:$B,$BG94,'Cable Data Master'!$C:$C,$BH94,'Cable Data Master'!$D:$D,$BI94,'Cable Data Master'!$E:$E,$BJ94,'Cable Data Master'!$F:$F,$BK94),"")</f>
        <v>0</v>
      </c>
      <c r="BN94" s="86">
        <f>IFERROR(SUMIFS('Cable Data Master'!$G:$G,'Cable Data Master'!$A:$A,$BF94,'Cable Data Master'!$B:$B,$BG94,'Cable Data Master'!$C:$C,$BH94,'Cable Data Master'!$D:$D,$BI94,'Cable Data Master'!$E:$E,$BJ94,'Cable Data Master'!$F:$F,$BK94),"")</f>
        <v>0</v>
      </c>
      <c r="BO94" s="86">
        <f>IFERROR(SUMIFS('Cable Data Master'!$H:$H,'Cable Data Master'!$A:$A,$BF94,'Cable Data Master'!$B:$B,$BG94,'Cable Data Master'!$C:$C,$BH94,'Cable Data Master'!$D:$D,$BI94,'Cable Data Master'!$E:$E,$BJ94,'Cable Data Master'!$F:$F,$BK94),"")</f>
        <v>0</v>
      </c>
      <c r="BP94" s="86">
        <f>IFERROR(SUMIFS('Cable Data Master'!$I:$I,'Cable Data Master'!$A:$A,$BF94,'Cable Data Master'!$B:$B,$BG94,'Cable Data Master'!$C:$C,$BH94,'Cable Data Master'!$D:$D,$BI94,'Cable Data Master'!$E:$E,$BJ94,'Cable Data Master'!$F:$F,$BK94),"")</f>
        <v>0</v>
      </c>
      <c r="BQ94" s="86">
        <f>IFERROR(SUMIFS('Cable Data Master'!$J:$J,'Cable Data Master'!$A:$A,$BF94,'Cable Data Master'!$B:$B,$BG94,'Cable Data Master'!$C:$C,$BH94,'Cable Data Master'!$D:$D,$BI94,'Cable Data Master'!$E:$E,$BJ94,'Cable Data Master'!$F:$F,$BK94),"")</f>
        <v>0</v>
      </c>
      <c r="BR94" s="86"/>
    </row>
    <row r="95" spans="1:70" s="87" customFormat="1" ht="30" customHeight="1" x14ac:dyDescent="0.35">
      <c r="A95" s="72">
        <v>92</v>
      </c>
      <c r="B95" s="73"/>
      <c r="C95" s="73"/>
      <c r="D95" s="74">
        <v>4.5</v>
      </c>
      <c r="E95" s="74"/>
      <c r="F95" s="74" t="s">
        <v>132</v>
      </c>
      <c r="G95" s="72" t="str">
        <f>IF(OR(C95="",D95="",E95="",H95="",J95="",K95="",L95="",M95="",N95="",O95="",P95="",Q95="",R95="",S95=""),"",IFERROR(LOOKUP(2,1/(('AUTO ENGINE'!$A$2:$A$1201=ROW())*('AUTO ENGINE'!$M$2:$M$1201=1)),'AUTO ENGINE'!$B$2:$B$1201),"NO CABLE PASSES"))</f>
        <v/>
      </c>
      <c r="H95" s="73" t="s">
        <v>133</v>
      </c>
      <c r="I95" s="72">
        <f t="shared" si="82"/>
        <v>0</v>
      </c>
      <c r="J95" s="73">
        <v>1</v>
      </c>
      <c r="K95" s="73">
        <v>415</v>
      </c>
      <c r="L95" s="73">
        <v>0.53</v>
      </c>
      <c r="M95" s="73">
        <v>0.85</v>
      </c>
      <c r="N95" s="73">
        <v>0.95399999999999996</v>
      </c>
      <c r="O95" s="73"/>
      <c r="P95" s="73">
        <v>1.5</v>
      </c>
      <c r="Q95" s="73">
        <v>0.3</v>
      </c>
      <c r="R95" s="72">
        <f t="shared" si="83"/>
        <v>0</v>
      </c>
      <c r="S95" s="73">
        <v>0.2</v>
      </c>
      <c r="T95" s="72">
        <f t="shared" si="84"/>
        <v>0</v>
      </c>
      <c r="U95" s="72">
        <f t="shared" si="120"/>
        <v>0</v>
      </c>
      <c r="V95" s="72">
        <f t="shared" si="85"/>
        <v>0</v>
      </c>
      <c r="W95" s="72">
        <f t="shared" si="86"/>
        <v>0</v>
      </c>
      <c r="X95" s="72">
        <f t="shared" si="87"/>
        <v>0</v>
      </c>
      <c r="Y95" s="72">
        <f t="shared" si="88"/>
        <v>0</v>
      </c>
      <c r="Z95" s="72" t="str">
        <f t="shared" si="89"/>
        <v>PASS</v>
      </c>
      <c r="AA95" s="72">
        <f t="shared" si="90"/>
        <v>0</v>
      </c>
      <c r="AB95" s="72">
        <f t="shared" si="91"/>
        <v>0.95393920141694566</v>
      </c>
      <c r="AC95" s="72">
        <f t="shared" si="92"/>
        <v>0</v>
      </c>
      <c r="AD95" s="72">
        <f t="shared" si="93"/>
        <v>0</v>
      </c>
      <c r="AE95" s="72">
        <f t="shared" si="94"/>
        <v>0</v>
      </c>
      <c r="AF95" s="72" t="str">
        <f>IF(OR(AE95="",AD95=""),"",IF(AE95&lt;='OS-DORAEN'!$B$6,"PASS","FAIL"))</f>
        <v>PASS</v>
      </c>
      <c r="AG95" s="72">
        <f t="shared" si="95"/>
        <v>0.52678268764263703</v>
      </c>
      <c r="AH95" s="72">
        <f t="shared" si="96"/>
        <v>0</v>
      </c>
      <c r="AI95" s="72">
        <f t="shared" si="97"/>
        <v>0</v>
      </c>
      <c r="AJ95" s="72">
        <f t="shared" si="98"/>
        <v>0</v>
      </c>
      <c r="AK95" s="72" t="str">
        <f>IF(OR(AJ95="",AI95=""),"",IF(AJ95&lt;='OS-DORAEN'!$B$5,"PASS","FAIL"))</f>
        <v>PASS</v>
      </c>
      <c r="AL95" s="72" t="str">
        <f t="shared" si="99"/>
        <v/>
      </c>
      <c r="AM95" s="72" t="str">
        <f t="shared" si="100"/>
        <v/>
      </c>
      <c r="AN95" s="72" t="str">
        <f t="shared" si="101"/>
        <v/>
      </c>
      <c r="AO95" s="72" t="str">
        <f t="shared" si="102"/>
        <v>PASS</v>
      </c>
      <c r="AP95" s="72" t="str">
        <f t="shared" si="103"/>
        <v/>
      </c>
      <c r="AQ95" s="72" t="str">
        <f t="shared" si="104"/>
        <v/>
      </c>
      <c r="AR95" s="72" t="str">
        <f t="shared" si="121"/>
        <v/>
      </c>
      <c r="AS95" s="72">
        <f t="shared" si="105"/>
        <v>0</v>
      </c>
      <c r="AT95" s="72">
        <f>IF(AS95="","",IF(AS95&lt;=Lists!$J$2,Lists!$J$2,IFERROR(INDEX(Lists!$J$2:$J$28,IF(INDEX(Lists!$J$2:$J$28,MATCH(AS95,Lists!$J$2:$J$28,1))=AS95,MATCH(AS95,Lists!$J$2:$J$28,1),MATCH(AS95,Lists!$J$2:$J$28,1)+1)),"NO STANDARD CB")))</f>
        <v>16</v>
      </c>
      <c r="AU95" s="72" t="str">
        <f t="shared" si="106"/>
        <v>Manufacturer-specific adjustable trip unit</v>
      </c>
      <c r="AV95" s="72">
        <f t="shared" si="107"/>
        <v>0</v>
      </c>
      <c r="AW95" s="72" t="str">
        <f t="shared" si="108"/>
        <v>Verify manufacturer instantaneous/magnetic pickup</v>
      </c>
      <c r="AX95" s="72" t="str">
        <f t="shared" si="109"/>
        <v>VERIFY MANUFACTURER</v>
      </c>
      <c r="AY95" s="72" t="str">
        <f t="shared" si="110"/>
        <v>PASS</v>
      </c>
      <c r="AZ95" s="72" t="str">
        <f t="shared" si="111"/>
        <v>16 A MCCB; target Ir 0.0 A; manufacturer trip-unit verification required</v>
      </c>
      <c r="BA95" s="73"/>
      <c r="BB95" s="72" t="str">
        <f t="shared" si="112"/>
        <v>ENTER CB Icu/Ics</v>
      </c>
      <c r="BC95" s="72" t="str">
        <f t="shared" si="113"/>
        <v>Enter manufacturer CB Icu/Ics. Required ≥ 0.00 kA</v>
      </c>
      <c r="BD95" s="72" t="str">
        <f>IF(OR(AS95="",AT95="",AV95=""),"",IF(AND(AT95&gt;=AS95,COUNTIF(Lists!$J$2:$J$28,AT95)&gt;0,AV95&gt;=AS95,AV95&lt;=AT95),"PASS","FAIL - REVIEW MCCB FRAME/TRIP UNIT"))</f>
        <v>PASS</v>
      </c>
      <c r="BE95" s="86"/>
      <c r="BF95" s="86" t="str">
        <f t="shared" si="114"/>
        <v>XLPE</v>
      </c>
      <c r="BG95" s="86" t="str">
        <f t="shared" si="115"/>
        <v>3C</v>
      </c>
      <c r="BH95" s="86" t="str">
        <f t="shared" si="116"/>
        <v>Al</v>
      </c>
      <c r="BI95" s="86" t="str">
        <f t="shared" si="117"/>
        <v>XLPE</v>
      </c>
      <c r="BJ95" s="86" t="str">
        <f t="shared" si="118"/>
        <v>Armoured</v>
      </c>
      <c r="BK95" s="86" t="str">
        <f t="shared" si="119"/>
        <v/>
      </c>
      <c r="BL95" s="86">
        <f>IFERROR(SUMIFS('Cable Data Master'!$K:$K,'Cable Data Master'!$A:$A,$BF95,'Cable Data Master'!$B:$B,$BG95,'Cable Data Master'!$C:$C,$BH95,'Cable Data Master'!$D:$D,$BI95,'Cable Data Master'!$E:$E,$BJ95,'Cable Data Master'!$F:$F,$BK95),"")</f>
        <v>0</v>
      </c>
      <c r="BM95" s="86">
        <f>IFERROR(SUMIFS('Cable Data Master'!$L:$L,'Cable Data Master'!$A:$A,$BF95,'Cable Data Master'!$B:$B,$BG95,'Cable Data Master'!$C:$C,$BH95,'Cable Data Master'!$D:$D,$BI95,'Cable Data Master'!$E:$E,$BJ95,'Cable Data Master'!$F:$F,$BK95),"")</f>
        <v>0</v>
      </c>
      <c r="BN95" s="86">
        <f>IFERROR(SUMIFS('Cable Data Master'!$G:$G,'Cable Data Master'!$A:$A,$BF95,'Cable Data Master'!$B:$B,$BG95,'Cable Data Master'!$C:$C,$BH95,'Cable Data Master'!$D:$D,$BI95,'Cable Data Master'!$E:$E,$BJ95,'Cable Data Master'!$F:$F,$BK95),"")</f>
        <v>0</v>
      </c>
      <c r="BO95" s="86">
        <f>IFERROR(SUMIFS('Cable Data Master'!$H:$H,'Cable Data Master'!$A:$A,$BF95,'Cable Data Master'!$B:$B,$BG95,'Cable Data Master'!$C:$C,$BH95,'Cable Data Master'!$D:$D,$BI95,'Cable Data Master'!$E:$E,$BJ95,'Cable Data Master'!$F:$F,$BK95),"")</f>
        <v>0</v>
      </c>
      <c r="BP95" s="86">
        <f>IFERROR(SUMIFS('Cable Data Master'!$I:$I,'Cable Data Master'!$A:$A,$BF95,'Cable Data Master'!$B:$B,$BG95,'Cable Data Master'!$C:$C,$BH95,'Cable Data Master'!$D:$D,$BI95,'Cable Data Master'!$E:$E,$BJ95,'Cable Data Master'!$F:$F,$BK95),"")</f>
        <v>0</v>
      </c>
      <c r="BQ95" s="86">
        <f>IFERROR(SUMIFS('Cable Data Master'!$J:$J,'Cable Data Master'!$A:$A,$BF95,'Cable Data Master'!$B:$B,$BG95,'Cable Data Master'!$C:$C,$BH95,'Cable Data Master'!$D:$D,$BI95,'Cable Data Master'!$E:$E,$BJ95,'Cable Data Master'!$F:$F,$BK95),"")</f>
        <v>0</v>
      </c>
      <c r="BR95" s="86"/>
    </row>
    <row r="96" spans="1:70" s="87" customFormat="1" ht="30" customHeight="1" x14ac:dyDescent="0.35">
      <c r="A96" s="72">
        <v>93</v>
      </c>
      <c r="B96" s="73"/>
      <c r="C96" s="73"/>
      <c r="D96" s="74">
        <v>4.5</v>
      </c>
      <c r="E96" s="74"/>
      <c r="F96" s="74" t="s">
        <v>132</v>
      </c>
      <c r="G96" s="72" t="str">
        <f>IF(OR(C96="",D96="",E96="",H96="",J96="",K96="",L96="",M96="",N96="",O96="",P96="",Q96="",R96="",S96=""),"",IFERROR(LOOKUP(2,1/(('AUTO ENGINE'!$A$2:$A$1201=ROW())*('AUTO ENGINE'!$M$2:$M$1201=1)),'AUTO ENGINE'!$B$2:$B$1201),"NO CABLE PASSES"))</f>
        <v/>
      </c>
      <c r="H96" s="73" t="s">
        <v>133</v>
      </c>
      <c r="I96" s="72">
        <f t="shared" si="82"/>
        <v>0</v>
      </c>
      <c r="J96" s="73">
        <v>1</v>
      </c>
      <c r="K96" s="73">
        <v>415</v>
      </c>
      <c r="L96" s="73">
        <v>0.53</v>
      </c>
      <c r="M96" s="73">
        <v>0.85</v>
      </c>
      <c r="N96" s="73">
        <v>0.95399999999999996</v>
      </c>
      <c r="O96" s="73"/>
      <c r="P96" s="73">
        <v>1.5</v>
      </c>
      <c r="Q96" s="73">
        <v>0.3</v>
      </c>
      <c r="R96" s="72">
        <f t="shared" si="83"/>
        <v>0</v>
      </c>
      <c r="S96" s="73">
        <v>0.2</v>
      </c>
      <c r="T96" s="72">
        <f t="shared" si="84"/>
        <v>0</v>
      </c>
      <c r="U96" s="72">
        <f t="shared" si="120"/>
        <v>0</v>
      </c>
      <c r="V96" s="72">
        <f t="shared" si="85"/>
        <v>0</v>
      </c>
      <c r="W96" s="72">
        <f t="shared" si="86"/>
        <v>0</v>
      </c>
      <c r="X96" s="72">
        <f t="shared" si="87"/>
        <v>0</v>
      </c>
      <c r="Y96" s="72">
        <f t="shared" si="88"/>
        <v>0</v>
      </c>
      <c r="Z96" s="72" t="str">
        <f t="shared" si="89"/>
        <v>PASS</v>
      </c>
      <c r="AA96" s="72">
        <f t="shared" si="90"/>
        <v>0</v>
      </c>
      <c r="AB96" s="72">
        <f t="shared" si="91"/>
        <v>0.95393920141694566</v>
      </c>
      <c r="AC96" s="72">
        <f t="shared" si="92"/>
        <v>0</v>
      </c>
      <c r="AD96" s="72">
        <f t="shared" si="93"/>
        <v>0</v>
      </c>
      <c r="AE96" s="72">
        <f t="shared" si="94"/>
        <v>0</v>
      </c>
      <c r="AF96" s="72" t="str">
        <f>IF(OR(AE96="",AD96=""),"",IF(AE96&lt;='OS-DORAEN'!$B$6,"PASS","FAIL"))</f>
        <v>PASS</v>
      </c>
      <c r="AG96" s="72">
        <f t="shared" si="95"/>
        <v>0.52678268764263703</v>
      </c>
      <c r="AH96" s="72">
        <f t="shared" si="96"/>
        <v>0</v>
      </c>
      <c r="AI96" s="72">
        <f t="shared" si="97"/>
        <v>0</v>
      </c>
      <c r="AJ96" s="72">
        <f t="shared" si="98"/>
        <v>0</v>
      </c>
      <c r="AK96" s="72" t="str">
        <f>IF(OR(AJ96="",AI96=""),"",IF(AJ96&lt;='OS-DORAEN'!$B$5,"PASS","FAIL"))</f>
        <v>PASS</v>
      </c>
      <c r="AL96" s="72" t="str">
        <f t="shared" si="99"/>
        <v/>
      </c>
      <c r="AM96" s="72" t="str">
        <f t="shared" si="100"/>
        <v/>
      </c>
      <c r="AN96" s="72" t="str">
        <f t="shared" si="101"/>
        <v/>
      </c>
      <c r="AO96" s="72" t="str">
        <f t="shared" si="102"/>
        <v>PASS</v>
      </c>
      <c r="AP96" s="72" t="str">
        <f t="shared" si="103"/>
        <v/>
      </c>
      <c r="AQ96" s="72" t="str">
        <f t="shared" si="104"/>
        <v/>
      </c>
      <c r="AR96" s="72" t="str">
        <f t="shared" si="121"/>
        <v/>
      </c>
      <c r="AS96" s="72">
        <f t="shared" si="105"/>
        <v>0</v>
      </c>
      <c r="AT96" s="72">
        <f>IF(AS96="","",IF(AS96&lt;=Lists!$J$2,Lists!$J$2,IFERROR(INDEX(Lists!$J$2:$J$28,IF(INDEX(Lists!$J$2:$J$28,MATCH(AS96,Lists!$J$2:$J$28,1))=AS96,MATCH(AS96,Lists!$J$2:$J$28,1),MATCH(AS96,Lists!$J$2:$J$28,1)+1)),"NO STANDARD CB")))</f>
        <v>16</v>
      </c>
      <c r="AU96" s="72" t="str">
        <f t="shared" si="106"/>
        <v>Manufacturer-specific adjustable trip unit</v>
      </c>
      <c r="AV96" s="72">
        <f t="shared" si="107"/>
        <v>0</v>
      </c>
      <c r="AW96" s="72" t="str">
        <f t="shared" si="108"/>
        <v>Verify manufacturer instantaneous/magnetic pickup</v>
      </c>
      <c r="AX96" s="72" t="str">
        <f t="shared" si="109"/>
        <v>VERIFY MANUFACTURER</v>
      </c>
      <c r="AY96" s="72" t="str">
        <f t="shared" si="110"/>
        <v>PASS</v>
      </c>
      <c r="AZ96" s="72" t="str">
        <f t="shared" si="111"/>
        <v>16 A MCCB; target Ir 0.0 A; manufacturer trip-unit verification required</v>
      </c>
      <c r="BA96" s="73"/>
      <c r="BB96" s="72" t="str">
        <f t="shared" si="112"/>
        <v>ENTER CB Icu/Ics</v>
      </c>
      <c r="BC96" s="72" t="str">
        <f t="shared" si="113"/>
        <v>Enter manufacturer CB Icu/Ics. Required ≥ 0.00 kA</v>
      </c>
      <c r="BD96" s="72" t="str">
        <f>IF(OR(AS96="",AT96="",AV96=""),"",IF(AND(AT96&gt;=AS96,COUNTIF(Lists!$J$2:$J$28,AT96)&gt;0,AV96&gt;=AS96,AV96&lt;=AT96),"PASS","FAIL - REVIEW MCCB FRAME/TRIP UNIT"))</f>
        <v>PASS</v>
      </c>
      <c r="BE96" s="86"/>
      <c r="BF96" s="86" t="str">
        <f t="shared" si="114"/>
        <v>XLPE</v>
      </c>
      <c r="BG96" s="86" t="str">
        <f t="shared" si="115"/>
        <v>3C</v>
      </c>
      <c r="BH96" s="86" t="str">
        <f t="shared" si="116"/>
        <v>Al</v>
      </c>
      <c r="BI96" s="86" t="str">
        <f t="shared" si="117"/>
        <v>XLPE</v>
      </c>
      <c r="BJ96" s="86" t="str">
        <f t="shared" si="118"/>
        <v>Armoured</v>
      </c>
      <c r="BK96" s="86" t="str">
        <f t="shared" si="119"/>
        <v/>
      </c>
      <c r="BL96" s="86">
        <f>IFERROR(SUMIFS('Cable Data Master'!$K:$K,'Cable Data Master'!$A:$A,$BF96,'Cable Data Master'!$B:$B,$BG96,'Cable Data Master'!$C:$C,$BH96,'Cable Data Master'!$D:$D,$BI96,'Cable Data Master'!$E:$E,$BJ96,'Cable Data Master'!$F:$F,$BK96),"")</f>
        <v>0</v>
      </c>
      <c r="BM96" s="86">
        <f>IFERROR(SUMIFS('Cable Data Master'!$L:$L,'Cable Data Master'!$A:$A,$BF96,'Cable Data Master'!$B:$B,$BG96,'Cable Data Master'!$C:$C,$BH96,'Cable Data Master'!$D:$D,$BI96,'Cable Data Master'!$E:$E,$BJ96,'Cable Data Master'!$F:$F,$BK96),"")</f>
        <v>0</v>
      </c>
      <c r="BN96" s="86">
        <f>IFERROR(SUMIFS('Cable Data Master'!$G:$G,'Cable Data Master'!$A:$A,$BF96,'Cable Data Master'!$B:$B,$BG96,'Cable Data Master'!$C:$C,$BH96,'Cable Data Master'!$D:$D,$BI96,'Cable Data Master'!$E:$E,$BJ96,'Cable Data Master'!$F:$F,$BK96),"")</f>
        <v>0</v>
      </c>
      <c r="BO96" s="86">
        <f>IFERROR(SUMIFS('Cable Data Master'!$H:$H,'Cable Data Master'!$A:$A,$BF96,'Cable Data Master'!$B:$B,$BG96,'Cable Data Master'!$C:$C,$BH96,'Cable Data Master'!$D:$D,$BI96,'Cable Data Master'!$E:$E,$BJ96,'Cable Data Master'!$F:$F,$BK96),"")</f>
        <v>0</v>
      </c>
      <c r="BP96" s="86">
        <f>IFERROR(SUMIFS('Cable Data Master'!$I:$I,'Cable Data Master'!$A:$A,$BF96,'Cable Data Master'!$B:$B,$BG96,'Cable Data Master'!$C:$C,$BH96,'Cable Data Master'!$D:$D,$BI96,'Cable Data Master'!$E:$E,$BJ96,'Cable Data Master'!$F:$F,$BK96),"")</f>
        <v>0</v>
      </c>
      <c r="BQ96" s="86">
        <f>IFERROR(SUMIFS('Cable Data Master'!$J:$J,'Cable Data Master'!$A:$A,$BF96,'Cable Data Master'!$B:$B,$BG96,'Cable Data Master'!$C:$C,$BH96,'Cable Data Master'!$D:$D,$BI96,'Cable Data Master'!$E:$E,$BJ96,'Cable Data Master'!$F:$F,$BK96),"")</f>
        <v>0</v>
      </c>
      <c r="BR96" s="86"/>
    </row>
    <row r="97" spans="1:70" s="87" customFormat="1" ht="30" customHeight="1" x14ac:dyDescent="0.35">
      <c r="A97" s="72">
        <v>94</v>
      </c>
      <c r="B97" s="73"/>
      <c r="C97" s="73"/>
      <c r="D97" s="74">
        <v>4.5</v>
      </c>
      <c r="E97" s="74"/>
      <c r="F97" s="74" t="s">
        <v>132</v>
      </c>
      <c r="G97" s="72" t="str">
        <f>IF(OR(C97="",D97="",E97="",H97="",J97="",K97="",L97="",M97="",N97="",O97="",P97="",Q97="",R97="",S97=""),"",IFERROR(LOOKUP(2,1/(('AUTO ENGINE'!$A$2:$A$1201=ROW())*('AUTO ENGINE'!$M$2:$M$1201=1)),'AUTO ENGINE'!$B$2:$B$1201),"NO CABLE PASSES"))</f>
        <v/>
      </c>
      <c r="H97" s="73" t="s">
        <v>133</v>
      </c>
      <c r="I97" s="72">
        <f t="shared" si="82"/>
        <v>0</v>
      </c>
      <c r="J97" s="73">
        <v>1</v>
      </c>
      <c r="K97" s="73">
        <v>415</v>
      </c>
      <c r="L97" s="73">
        <v>0.53</v>
      </c>
      <c r="M97" s="73">
        <v>0.85</v>
      </c>
      <c r="N97" s="73">
        <v>0.95399999999999996</v>
      </c>
      <c r="O97" s="73"/>
      <c r="P97" s="73">
        <v>1.5</v>
      </c>
      <c r="Q97" s="73">
        <v>0.3</v>
      </c>
      <c r="R97" s="72">
        <f t="shared" si="83"/>
        <v>0</v>
      </c>
      <c r="S97" s="73">
        <v>0.2</v>
      </c>
      <c r="T97" s="72">
        <f t="shared" si="84"/>
        <v>0</v>
      </c>
      <c r="U97" s="72">
        <f t="shared" si="120"/>
        <v>0</v>
      </c>
      <c r="V97" s="72">
        <f t="shared" si="85"/>
        <v>0</v>
      </c>
      <c r="W97" s="72">
        <f t="shared" si="86"/>
        <v>0</v>
      </c>
      <c r="X97" s="72">
        <f t="shared" si="87"/>
        <v>0</v>
      </c>
      <c r="Y97" s="72">
        <f t="shared" si="88"/>
        <v>0</v>
      </c>
      <c r="Z97" s="72" t="str">
        <f t="shared" si="89"/>
        <v>PASS</v>
      </c>
      <c r="AA97" s="72">
        <f t="shared" si="90"/>
        <v>0</v>
      </c>
      <c r="AB97" s="72">
        <f t="shared" si="91"/>
        <v>0.95393920141694566</v>
      </c>
      <c r="AC97" s="72">
        <f t="shared" si="92"/>
        <v>0</v>
      </c>
      <c r="AD97" s="72">
        <f t="shared" si="93"/>
        <v>0</v>
      </c>
      <c r="AE97" s="72">
        <f t="shared" si="94"/>
        <v>0</v>
      </c>
      <c r="AF97" s="72" t="str">
        <f>IF(OR(AE97="",AD97=""),"",IF(AE97&lt;='OS-DORAEN'!$B$6,"PASS","FAIL"))</f>
        <v>PASS</v>
      </c>
      <c r="AG97" s="72">
        <f t="shared" si="95"/>
        <v>0.52678268764263703</v>
      </c>
      <c r="AH97" s="72">
        <f t="shared" si="96"/>
        <v>0</v>
      </c>
      <c r="AI97" s="72">
        <f t="shared" si="97"/>
        <v>0</v>
      </c>
      <c r="AJ97" s="72">
        <f t="shared" si="98"/>
        <v>0</v>
      </c>
      <c r="AK97" s="72" t="str">
        <f>IF(OR(AJ97="",AI97=""),"",IF(AJ97&lt;='OS-DORAEN'!$B$5,"PASS","FAIL"))</f>
        <v>PASS</v>
      </c>
      <c r="AL97" s="72" t="str">
        <f t="shared" si="99"/>
        <v/>
      </c>
      <c r="AM97" s="72" t="str">
        <f t="shared" si="100"/>
        <v/>
      </c>
      <c r="AN97" s="72" t="str">
        <f t="shared" si="101"/>
        <v/>
      </c>
      <c r="AO97" s="72" t="str">
        <f t="shared" si="102"/>
        <v>PASS</v>
      </c>
      <c r="AP97" s="72" t="str">
        <f t="shared" si="103"/>
        <v/>
      </c>
      <c r="AQ97" s="72" t="str">
        <f t="shared" si="104"/>
        <v/>
      </c>
      <c r="AR97" s="72" t="str">
        <f t="shared" si="121"/>
        <v/>
      </c>
      <c r="AS97" s="72">
        <f t="shared" si="105"/>
        <v>0</v>
      </c>
      <c r="AT97" s="72">
        <f>IF(AS97="","",IF(AS97&lt;=Lists!$J$2,Lists!$J$2,IFERROR(INDEX(Lists!$J$2:$J$28,IF(INDEX(Lists!$J$2:$J$28,MATCH(AS97,Lists!$J$2:$J$28,1))=AS97,MATCH(AS97,Lists!$J$2:$J$28,1),MATCH(AS97,Lists!$J$2:$J$28,1)+1)),"NO STANDARD CB")))</f>
        <v>16</v>
      </c>
      <c r="AU97" s="72" t="str">
        <f t="shared" si="106"/>
        <v>Manufacturer-specific adjustable trip unit</v>
      </c>
      <c r="AV97" s="72">
        <f t="shared" si="107"/>
        <v>0</v>
      </c>
      <c r="AW97" s="72" t="str">
        <f t="shared" si="108"/>
        <v>Verify manufacturer instantaneous/magnetic pickup</v>
      </c>
      <c r="AX97" s="72" t="str">
        <f t="shared" si="109"/>
        <v>VERIFY MANUFACTURER</v>
      </c>
      <c r="AY97" s="72" t="str">
        <f t="shared" si="110"/>
        <v>PASS</v>
      </c>
      <c r="AZ97" s="72" t="str">
        <f t="shared" si="111"/>
        <v>16 A MCCB; target Ir 0.0 A; manufacturer trip-unit verification required</v>
      </c>
      <c r="BA97" s="73"/>
      <c r="BB97" s="72" t="str">
        <f t="shared" si="112"/>
        <v>ENTER CB Icu/Ics</v>
      </c>
      <c r="BC97" s="72" t="str">
        <f t="shared" si="113"/>
        <v>Enter manufacturer CB Icu/Ics. Required ≥ 0.00 kA</v>
      </c>
      <c r="BD97" s="72" t="str">
        <f>IF(OR(AS97="",AT97="",AV97=""),"",IF(AND(AT97&gt;=AS97,COUNTIF(Lists!$J$2:$J$28,AT97)&gt;0,AV97&gt;=AS97,AV97&lt;=AT97),"PASS","FAIL - REVIEW MCCB FRAME/TRIP UNIT"))</f>
        <v>PASS</v>
      </c>
      <c r="BE97" s="86"/>
      <c r="BF97" s="86" t="str">
        <f t="shared" si="114"/>
        <v>XLPE</v>
      </c>
      <c r="BG97" s="86" t="str">
        <f t="shared" si="115"/>
        <v>3C</v>
      </c>
      <c r="BH97" s="86" t="str">
        <f t="shared" si="116"/>
        <v>Al</v>
      </c>
      <c r="BI97" s="86" t="str">
        <f t="shared" si="117"/>
        <v>XLPE</v>
      </c>
      <c r="BJ97" s="86" t="str">
        <f t="shared" si="118"/>
        <v>Armoured</v>
      </c>
      <c r="BK97" s="86" t="str">
        <f t="shared" si="119"/>
        <v/>
      </c>
      <c r="BL97" s="86">
        <f>IFERROR(SUMIFS('Cable Data Master'!$K:$K,'Cable Data Master'!$A:$A,$BF97,'Cable Data Master'!$B:$B,$BG97,'Cable Data Master'!$C:$C,$BH97,'Cable Data Master'!$D:$D,$BI97,'Cable Data Master'!$E:$E,$BJ97,'Cable Data Master'!$F:$F,$BK97),"")</f>
        <v>0</v>
      </c>
      <c r="BM97" s="86">
        <f>IFERROR(SUMIFS('Cable Data Master'!$L:$L,'Cable Data Master'!$A:$A,$BF97,'Cable Data Master'!$B:$B,$BG97,'Cable Data Master'!$C:$C,$BH97,'Cable Data Master'!$D:$D,$BI97,'Cable Data Master'!$E:$E,$BJ97,'Cable Data Master'!$F:$F,$BK97),"")</f>
        <v>0</v>
      </c>
      <c r="BN97" s="86">
        <f>IFERROR(SUMIFS('Cable Data Master'!$G:$G,'Cable Data Master'!$A:$A,$BF97,'Cable Data Master'!$B:$B,$BG97,'Cable Data Master'!$C:$C,$BH97,'Cable Data Master'!$D:$D,$BI97,'Cable Data Master'!$E:$E,$BJ97,'Cable Data Master'!$F:$F,$BK97),"")</f>
        <v>0</v>
      </c>
      <c r="BO97" s="86">
        <f>IFERROR(SUMIFS('Cable Data Master'!$H:$H,'Cable Data Master'!$A:$A,$BF97,'Cable Data Master'!$B:$B,$BG97,'Cable Data Master'!$C:$C,$BH97,'Cable Data Master'!$D:$D,$BI97,'Cable Data Master'!$E:$E,$BJ97,'Cable Data Master'!$F:$F,$BK97),"")</f>
        <v>0</v>
      </c>
      <c r="BP97" s="86">
        <f>IFERROR(SUMIFS('Cable Data Master'!$I:$I,'Cable Data Master'!$A:$A,$BF97,'Cable Data Master'!$B:$B,$BG97,'Cable Data Master'!$C:$C,$BH97,'Cable Data Master'!$D:$D,$BI97,'Cable Data Master'!$E:$E,$BJ97,'Cable Data Master'!$F:$F,$BK97),"")</f>
        <v>0</v>
      </c>
      <c r="BQ97" s="86">
        <f>IFERROR(SUMIFS('Cable Data Master'!$J:$J,'Cable Data Master'!$A:$A,$BF97,'Cable Data Master'!$B:$B,$BG97,'Cable Data Master'!$C:$C,$BH97,'Cable Data Master'!$D:$D,$BI97,'Cable Data Master'!$E:$E,$BJ97,'Cable Data Master'!$F:$F,$BK97),"")</f>
        <v>0</v>
      </c>
      <c r="BR97" s="86"/>
    </row>
    <row r="98" spans="1:70" s="87" customFormat="1" ht="30" customHeight="1" x14ac:dyDescent="0.35">
      <c r="A98" s="72">
        <v>95</v>
      </c>
      <c r="B98" s="73"/>
      <c r="C98" s="73"/>
      <c r="D98" s="74">
        <v>4.5</v>
      </c>
      <c r="E98" s="74"/>
      <c r="F98" s="74" t="s">
        <v>132</v>
      </c>
      <c r="G98" s="72" t="str">
        <f>IF(OR(C98="",D98="",E98="",H98="",J98="",K98="",L98="",M98="",N98="",O98="",P98="",Q98="",R98="",S98=""),"",IFERROR(LOOKUP(2,1/(('AUTO ENGINE'!$A$2:$A$1201=ROW())*('AUTO ENGINE'!$M$2:$M$1201=1)),'AUTO ENGINE'!$B$2:$B$1201),"NO CABLE PASSES"))</f>
        <v/>
      </c>
      <c r="H98" s="73" t="s">
        <v>133</v>
      </c>
      <c r="I98" s="72">
        <f t="shared" si="82"/>
        <v>0</v>
      </c>
      <c r="J98" s="73">
        <v>1</v>
      </c>
      <c r="K98" s="73">
        <v>415</v>
      </c>
      <c r="L98" s="73">
        <v>0.53</v>
      </c>
      <c r="M98" s="73">
        <v>0.85</v>
      </c>
      <c r="N98" s="73">
        <v>0.95399999999999996</v>
      </c>
      <c r="O98" s="73"/>
      <c r="P98" s="73">
        <v>1.5</v>
      </c>
      <c r="Q98" s="73">
        <v>0.3</v>
      </c>
      <c r="R98" s="72">
        <f t="shared" si="83"/>
        <v>0</v>
      </c>
      <c r="S98" s="73">
        <v>0.2</v>
      </c>
      <c r="T98" s="72">
        <f t="shared" si="84"/>
        <v>0</v>
      </c>
      <c r="U98" s="72">
        <f t="shared" si="120"/>
        <v>0</v>
      </c>
      <c r="V98" s="72">
        <f t="shared" si="85"/>
        <v>0</v>
      </c>
      <c r="W98" s="72">
        <f t="shared" si="86"/>
        <v>0</v>
      </c>
      <c r="X98" s="72">
        <f t="shared" si="87"/>
        <v>0</v>
      </c>
      <c r="Y98" s="72">
        <f t="shared" si="88"/>
        <v>0</v>
      </c>
      <c r="Z98" s="72" t="str">
        <f t="shared" si="89"/>
        <v>PASS</v>
      </c>
      <c r="AA98" s="72">
        <f t="shared" si="90"/>
        <v>0</v>
      </c>
      <c r="AB98" s="72">
        <f t="shared" si="91"/>
        <v>0.95393920141694566</v>
      </c>
      <c r="AC98" s="72">
        <f t="shared" si="92"/>
        <v>0</v>
      </c>
      <c r="AD98" s="72">
        <f t="shared" si="93"/>
        <v>0</v>
      </c>
      <c r="AE98" s="72">
        <f t="shared" si="94"/>
        <v>0</v>
      </c>
      <c r="AF98" s="72" t="str">
        <f>IF(OR(AE98="",AD98=""),"",IF(AE98&lt;='OS-DORAEN'!$B$6,"PASS","FAIL"))</f>
        <v>PASS</v>
      </c>
      <c r="AG98" s="72">
        <f t="shared" si="95"/>
        <v>0.52678268764263703</v>
      </c>
      <c r="AH98" s="72">
        <f t="shared" si="96"/>
        <v>0</v>
      </c>
      <c r="AI98" s="72">
        <f t="shared" si="97"/>
        <v>0</v>
      </c>
      <c r="AJ98" s="72">
        <f t="shared" si="98"/>
        <v>0</v>
      </c>
      <c r="AK98" s="72" t="str">
        <f>IF(OR(AJ98="",AI98=""),"",IF(AJ98&lt;='OS-DORAEN'!$B$5,"PASS","FAIL"))</f>
        <v>PASS</v>
      </c>
      <c r="AL98" s="72" t="str">
        <f t="shared" si="99"/>
        <v/>
      </c>
      <c r="AM98" s="72" t="str">
        <f t="shared" si="100"/>
        <v/>
      </c>
      <c r="AN98" s="72" t="str">
        <f t="shared" si="101"/>
        <v/>
      </c>
      <c r="AO98" s="72" t="str">
        <f t="shared" si="102"/>
        <v>PASS</v>
      </c>
      <c r="AP98" s="72" t="str">
        <f t="shared" si="103"/>
        <v/>
      </c>
      <c r="AQ98" s="72" t="str">
        <f t="shared" si="104"/>
        <v/>
      </c>
      <c r="AR98" s="72" t="str">
        <f t="shared" si="121"/>
        <v/>
      </c>
      <c r="AS98" s="72">
        <f t="shared" si="105"/>
        <v>0</v>
      </c>
      <c r="AT98" s="72">
        <f>IF(AS98="","",IF(AS98&lt;=Lists!$J$2,Lists!$J$2,IFERROR(INDEX(Lists!$J$2:$J$28,IF(INDEX(Lists!$J$2:$J$28,MATCH(AS98,Lists!$J$2:$J$28,1))=AS98,MATCH(AS98,Lists!$J$2:$J$28,1),MATCH(AS98,Lists!$J$2:$J$28,1)+1)),"NO STANDARD CB")))</f>
        <v>16</v>
      </c>
      <c r="AU98" s="72" t="str">
        <f t="shared" si="106"/>
        <v>Manufacturer-specific adjustable trip unit</v>
      </c>
      <c r="AV98" s="72">
        <f t="shared" si="107"/>
        <v>0</v>
      </c>
      <c r="AW98" s="72" t="str">
        <f t="shared" si="108"/>
        <v>Verify manufacturer instantaneous/magnetic pickup</v>
      </c>
      <c r="AX98" s="72" t="str">
        <f t="shared" si="109"/>
        <v>VERIFY MANUFACTURER</v>
      </c>
      <c r="AY98" s="72" t="str">
        <f t="shared" si="110"/>
        <v>PASS</v>
      </c>
      <c r="AZ98" s="72" t="str">
        <f t="shared" si="111"/>
        <v>16 A MCCB; target Ir 0.0 A; manufacturer trip-unit verification required</v>
      </c>
      <c r="BA98" s="73"/>
      <c r="BB98" s="72" t="str">
        <f t="shared" si="112"/>
        <v>ENTER CB Icu/Ics</v>
      </c>
      <c r="BC98" s="72" t="str">
        <f t="shared" si="113"/>
        <v>Enter manufacturer CB Icu/Ics. Required ≥ 0.00 kA</v>
      </c>
      <c r="BD98" s="72" t="str">
        <f>IF(OR(AS98="",AT98="",AV98=""),"",IF(AND(AT98&gt;=AS98,COUNTIF(Lists!$J$2:$J$28,AT98)&gt;0,AV98&gt;=AS98,AV98&lt;=AT98),"PASS","FAIL - REVIEW MCCB FRAME/TRIP UNIT"))</f>
        <v>PASS</v>
      </c>
      <c r="BE98" s="86"/>
      <c r="BF98" s="86" t="str">
        <f t="shared" si="114"/>
        <v>XLPE</v>
      </c>
      <c r="BG98" s="86" t="str">
        <f t="shared" si="115"/>
        <v>3C</v>
      </c>
      <c r="BH98" s="86" t="str">
        <f t="shared" si="116"/>
        <v>Al</v>
      </c>
      <c r="BI98" s="86" t="str">
        <f t="shared" si="117"/>
        <v>XLPE</v>
      </c>
      <c r="BJ98" s="86" t="str">
        <f t="shared" si="118"/>
        <v>Armoured</v>
      </c>
      <c r="BK98" s="86" t="str">
        <f t="shared" si="119"/>
        <v/>
      </c>
      <c r="BL98" s="86">
        <f>IFERROR(SUMIFS('Cable Data Master'!$K:$K,'Cable Data Master'!$A:$A,$BF98,'Cable Data Master'!$B:$B,$BG98,'Cable Data Master'!$C:$C,$BH98,'Cable Data Master'!$D:$D,$BI98,'Cable Data Master'!$E:$E,$BJ98,'Cable Data Master'!$F:$F,$BK98),"")</f>
        <v>0</v>
      </c>
      <c r="BM98" s="86">
        <f>IFERROR(SUMIFS('Cable Data Master'!$L:$L,'Cable Data Master'!$A:$A,$BF98,'Cable Data Master'!$B:$B,$BG98,'Cable Data Master'!$C:$C,$BH98,'Cable Data Master'!$D:$D,$BI98,'Cable Data Master'!$E:$E,$BJ98,'Cable Data Master'!$F:$F,$BK98),"")</f>
        <v>0</v>
      </c>
      <c r="BN98" s="86">
        <f>IFERROR(SUMIFS('Cable Data Master'!$G:$G,'Cable Data Master'!$A:$A,$BF98,'Cable Data Master'!$B:$B,$BG98,'Cable Data Master'!$C:$C,$BH98,'Cable Data Master'!$D:$D,$BI98,'Cable Data Master'!$E:$E,$BJ98,'Cable Data Master'!$F:$F,$BK98),"")</f>
        <v>0</v>
      </c>
      <c r="BO98" s="86">
        <f>IFERROR(SUMIFS('Cable Data Master'!$H:$H,'Cable Data Master'!$A:$A,$BF98,'Cable Data Master'!$B:$B,$BG98,'Cable Data Master'!$C:$C,$BH98,'Cable Data Master'!$D:$D,$BI98,'Cable Data Master'!$E:$E,$BJ98,'Cable Data Master'!$F:$F,$BK98),"")</f>
        <v>0</v>
      </c>
      <c r="BP98" s="86">
        <f>IFERROR(SUMIFS('Cable Data Master'!$I:$I,'Cable Data Master'!$A:$A,$BF98,'Cable Data Master'!$B:$B,$BG98,'Cable Data Master'!$C:$C,$BH98,'Cable Data Master'!$D:$D,$BI98,'Cable Data Master'!$E:$E,$BJ98,'Cable Data Master'!$F:$F,$BK98),"")</f>
        <v>0</v>
      </c>
      <c r="BQ98" s="86">
        <f>IFERROR(SUMIFS('Cable Data Master'!$J:$J,'Cable Data Master'!$A:$A,$BF98,'Cable Data Master'!$B:$B,$BG98,'Cable Data Master'!$C:$C,$BH98,'Cable Data Master'!$D:$D,$BI98,'Cable Data Master'!$E:$E,$BJ98,'Cable Data Master'!$F:$F,$BK98),"")</f>
        <v>0</v>
      </c>
      <c r="BR98" s="86"/>
    </row>
    <row r="99" spans="1:70" s="87" customFormat="1" ht="30" customHeight="1" x14ac:dyDescent="0.35">
      <c r="A99" s="72">
        <v>96</v>
      </c>
      <c r="B99" s="73"/>
      <c r="C99" s="73"/>
      <c r="D99" s="74">
        <v>4.5</v>
      </c>
      <c r="E99" s="74"/>
      <c r="F99" s="74" t="s">
        <v>132</v>
      </c>
      <c r="G99" s="72" t="str">
        <f>IF(OR(C99="",D99="",E99="",H99="",J99="",K99="",L99="",M99="",N99="",O99="",P99="",Q99="",R99="",S99=""),"",IFERROR(LOOKUP(2,1/(('AUTO ENGINE'!$A$2:$A$1201=ROW())*('AUTO ENGINE'!$M$2:$M$1201=1)),'AUTO ENGINE'!$B$2:$B$1201),"NO CABLE PASSES"))</f>
        <v/>
      </c>
      <c r="H99" s="73" t="s">
        <v>133</v>
      </c>
      <c r="I99" s="72">
        <f t="shared" si="82"/>
        <v>0</v>
      </c>
      <c r="J99" s="73">
        <v>1</v>
      </c>
      <c r="K99" s="73">
        <v>415</v>
      </c>
      <c r="L99" s="73">
        <v>0.53</v>
      </c>
      <c r="M99" s="73">
        <v>0.85</v>
      </c>
      <c r="N99" s="73">
        <v>0.95399999999999996</v>
      </c>
      <c r="O99" s="73"/>
      <c r="P99" s="73">
        <v>1.5</v>
      </c>
      <c r="Q99" s="73">
        <v>0.3</v>
      </c>
      <c r="R99" s="72">
        <f t="shared" si="83"/>
        <v>0</v>
      </c>
      <c r="S99" s="73">
        <v>0.2</v>
      </c>
      <c r="T99" s="72">
        <f t="shared" si="84"/>
        <v>0</v>
      </c>
      <c r="U99" s="72">
        <f t="shared" si="120"/>
        <v>0</v>
      </c>
      <c r="V99" s="72">
        <f t="shared" si="85"/>
        <v>0</v>
      </c>
      <c r="W99" s="72">
        <f t="shared" si="86"/>
        <v>0</v>
      </c>
      <c r="X99" s="72">
        <f t="shared" si="87"/>
        <v>0</v>
      </c>
      <c r="Y99" s="72">
        <f t="shared" si="88"/>
        <v>0</v>
      </c>
      <c r="Z99" s="72" t="str">
        <f t="shared" si="89"/>
        <v>PASS</v>
      </c>
      <c r="AA99" s="72">
        <f t="shared" si="90"/>
        <v>0</v>
      </c>
      <c r="AB99" s="72">
        <f t="shared" si="91"/>
        <v>0.95393920141694566</v>
      </c>
      <c r="AC99" s="72">
        <f t="shared" si="92"/>
        <v>0</v>
      </c>
      <c r="AD99" s="72">
        <f t="shared" si="93"/>
        <v>0</v>
      </c>
      <c r="AE99" s="72">
        <f t="shared" si="94"/>
        <v>0</v>
      </c>
      <c r="AF99" s="72" t="str">
        <f>IF(OR(AE99="",AD99=""),"",IF(AE99&lt;='OS-DORAEN'!$B$6,"PASS","FAIL"))</f>
        <v>PASS</v>
      </c>
      <c r="AG99" s="72">
        <f t="shared" si="95"/>
        <v>0.52678268764263703</v>
      </c>
      <c r="AH99" s="72">
        <f t="shared" si="96"/>
        <v>0</v>
      </c>
      <c r="AI99" s="72">
        <f t="shared" si="97"/>
        <v>0</v>
      </c>
      <c r="AJ99" s="72">
        <f t="shared" si="98"/>
        <v>0</v>
      </c>
      <c r="AK99" s="72" t="str">
        <f>IF(OR(AJ99="",AI99=""),"",IF(AJ99&lt;='OS-DORAEN'!$B$5,"PASS","FAIL"))</f>
        <v>PASS</v>
      </c>
      <c r="AL99" s="72" t="str">
        <f t="shared" si="99"/>
        <v/>
      </c>
      <c r="AM99" s="72" t="str">
        <f t="shared" si="100"/>
        <v/>
      </c>
      <c r="AN99" s="72" t="str">
        <f t="shared" si="101"/>
        <v/>
      </c>
      <c r="AO99" s="72" t="str">
        <f t="shared" si="102"/>
        <v>PASS</v>
      </c>
      <c r="AP99" s="72" t="str">
        <f t="shared" si="103"/>
        <v/>
      </c>
      <c r="AQ99" s="72" t="str">
        <f t="shared" si="104"/>
        <v/>
      </c>
      <c r="AR99" s="72" t="str">
        <f t="shared" si="121"/>
        <v/>
      </c>
      <c r="AS99" s="72">
        <f t="shared" si="105"/>
        <v>0</v>
      </c>
      <c r="AT99" s="72">
        <f>IF(AS99="","",IF(AS99&lt;=Lists!$J$2,Lists!$J$2,IFERROR(INDEX(Lists!$J$2:$J$28,IF(INDEX(Lists!$J$2:$J$28,MATCH(AS99,Lists!$J$2:$J$28,1))=AS99,MATCH(AS99,Lists!$J$2:$J$28,1),MATCH(AS99,Lists!$J$2:$J$28,1)+1)),"NO STANDARD CB")))</f>
        <v>16</v>
      </c>
      <c r="AU99" s="72" t="str">
        <f t="shared" si="106"/>
        <v>Manufacturer-specific adjustable trip unit</v>
      </c>
      <c r="AV99" s="72">
        <f t="shared" si="107"/>
        <v>0</v>
      </c>
      <c r="AW99" s="72" t="str">
        <f t="shared" si="108"/>
        <v>Verify manufacturer instantaneous/magnetic pickup</v>
      </c>
      <c r="AX99" s="72" t="str">
        <f t="shared" si="109"/>
        <v>VERIFY MANUFACTURER</v>
      </c>
      <c r="AY99" s="72" t="str">
        <f t="shared" si="110"/>
        <v>PASS</v>
      </c>
      <c r="AZ99" s="72" t="str">
        <f t="shared" si="111"/>
        <v>16 A MCCB; target Ir 0.0 A; manufacturer trip-unit verification required</v>
      </c>
      <c r="BA99" s="73"/>
      <c r="BB99" s="72" t="str">
        <f t="shared" si="112"/>
        <v>ENTER CB Icu/Ics</v>
      </c>
      <c r="BC99" s="72" t="str">
        <f t="shared" si="113"/>
        <v>Enter manufacturer CB Icu/Ics. Required ≥ 0.00 kA</v>
      </c>
      <c r="BD99" s="72" t="str">
        <f>IF(OR(AS99="",AT99="",AV99=""),"",IF(AND(AT99&gt;=AS99,COUNTIF(Lists!$J$2:$J$28,AT99)&gt;0,AV99&gt;=AS99,AV99&lt;=AT99),"PASS","FAIL - REVIEW MCCB FRAME/TRIP UNIT"))</f>
        <v>PASS</v>
      </c>
      <c r="BE99" s="86"/>
      <c r="BF99" s="86" t="str">
        <f t="shared" si="114"/>
        <v>XLPE</v>
      </c>
      <c r="BG99" s="86" t="str">
        <f t="shared" si="115"/>
        <v>3C</v>
      </c>
      <c r="BH99" s="86" t="str">
        <f t="shared" si="116"/>
        <v>Al</v>
      </c>
      <c r="BI99" s="86" t="str">
        <f t="shared" si="117"/>
        <v>XLPE</v>
      </c>
      <c r="BJ99" s="86" t="str">
        <f t="shared" si="118"/>
        <v>Armoured</v>
      </c>
      <c r="BK99" s="86" t="str">
        <f t="shared" si="119"/>
        <v/>
      </c>
      <c r="BL99" s="86">
        <f>IFERROR(SUMIFS('Cable Data Master'!$K:$K,'Cable Data Master'!$A:$A,$BF99,'Cable Data Master'!$B:$B,$BG99,'Cable Data Master'!$C:$C,$BH99,'Cable Data Master'!$D:$D,$BI99,'Cable Data Master'!$E:$E,$BJ99,'Cable Data Master'!$F:$F,$BK99),"")</f>
        <v>0</v>
      </c>
      <c r="BM99" s="86">
        <f>IFERROR(SUMIFS('Cable Data Master'!$L:$L,'Cable Data Master'!$A:$A,$BF99,'Cable Data Master'!$B:$B,$BG99,'Cable Data Master'!$C:$C,$BH99,'Cable Data Master'!$D:$D,$BI99,'Cable Data Master'!$E:$E,$BJ99,'Cable Data Master'!$F:$F,$BK99),"")</f>
        <v>0</v>
      </c>
      <c r="BN99" s="86">
        <f>IFERROR(SUMIFS('Cable Data Master'!$G:$G,'Cable Data Master'!$A:$A,$BF99,'Cable Data Master'!$B:$B,$BG99,'Cable Data Master'!$C:$C,$BH99,'Cable Data Master'!$D:$D,$BI99,'Cable Data Master'!$E:$E,$BJ99,'Cable Data Master'!$F:$F,$BK99),"")</f>
        <v>0</v>
      </c>
      <c r="BO99" s="86">
        <f>IFERROR(SUMIFS('Cable Data Master'!$H:$H,'Cable Data Master'!$A:$A,$BF99,'Cable Data Master'!$B:$B,$BG99,'Cable Data Master'!$C:$C,$BH99,'Cable Data Master'!$D:$D,$BI99,'Cable Data Master'!$E:$E,$BJ99,'Cable Data Master'!$F:$F,$BK99),"")</f>
        <v>0</v>
      </c>
      <c r="BP99" s="86">
        <f>IFERROR(SUMIFS('Cable Data Master'!$I:$I,'Cable Data Master'!$A:$A,$BF99,'Cable Data Master'!$B:$B,$BG99,'Cable Data Master'!$C:$C,$BH99,'Cable Data Master'!$D:$D,$BI99,'Cable Data Master'!$E:$E,$BJ99,'Cable Data Master'!$F:$F,$BK99),"")</f>
        <v>0</v>
      </c>
      <c r="BQ99" s="86">
        <f>IFERROR(SUMIFS('Cable Data Master'!$J:$J,'Cable Data Master'!$A:$A,$BF99,'Cable Data Master'!$B:$B,$BG99,'Cable Data Master'!$C:$C,$BH99,'Cable Data Master'!$D:$D,$BI99,'Cable Data Master'!$E:$E,$BJ99,'Cable Data Master'!$F:$F,$BK99),"")</f>
        <v>0</v>
      </c>
      <c r="BR99" s="86"/>
    </row>
    <row r="100" spans="1:70" s="87" customFormat="1" ht="30" customHeight="1" x14ac:dyDescent="0.35">
      <c r="A100" s="72">
        <v>97</v>
      </c>
      <c r="B100" s="73"/>
      <c r="C100" s="73"/>
      <c r="D100" s="74">
        <v>4.5</v>
      </c>
      <c r="E100" s="74"/>
      <c r="F100" s="74" t="s">
        <v>132</v>
      </c>
      <c r="G100" s="72" t="str">
        <f>IF(OR(C100="",D100="",E100="",H100="",J100="",K100="",L100="",M100="",N100="",O100="",P100="",Q100="",R100="",S100=""),"",IFERROR(LOOKUP(2,1/(('AUTO ENGINE'!$A$2:$A$1201=ROW())*('AUTO ENGINE'!$M$2:$M$1201=1)),'AUTO ENGINE'!$B$2:$B$1201),"NO CABLE PASSES"))</f>
        <v/>
      </c>
      <c r="H100" s="73" t="s">
        <v>133</v>
      </c>
      <c r="I100" s="72">
        <f t="shared" si="82"/>
        <v>0</v>
      </c>
      <c r="J100" s="73">
        <v>1</v>
      </c>
      <c r="K100" s="73">
        <v>415</v>
      </c>
      <c r="L100" s="73">
        <v>0.53</v>
      </c>
      <c r="M100" s="73">
        <v>0.85</v>
      </c>
      <c r="N100" s="73">
        <v>0.95399999999999996</v>
      </c>
      <c r="O100" s="73"/>
      <c r="P100" s="73">
        <v>1.5</v>
      </c>
      <c r="Q100" s="73">
        <v>0.3</v>
      </c>
      <c r="R100" s="72">
        <f t="shared" si="83"/>
        <v>0</v>
      </c>
      <c r="S100" s="73">
        <v>0.2</v>
      </c>
      <c r="T100" s="72">
        <f t="shared" si="84"/>
        <v>0</v>
      </c>
      <c r="U100" s="72">
        <f t="shared" si="120"/>
        <v>0</v>
      </c>
      <c r="V100" s="72">
        <f t="shared" si="85"/>
        <v>0</v>
      </c>
      <c r="W100" s="72">
        <f t="shared" si="86"/>
        <v>0</v>
      </c>
      <c r="X100" s="72">
        <f t="shared" si="87"/>
        <v>0</v>
      </c>
      <c r="Y100" s="72">
        <f t="shared" si="88"/>
        <v>0</v>
      </c>
      <c r="Z100" s="72" t="str">
        <f t="shared" ref="Z100:Z131" si="122">IF(OR(U100="",Y100=""),"",IF(Y100&gt;=U100,"PASS","FAIL"))</f>
        <v>PASS</v>
      </c>
      <c r="AA100" s="72">
        <f t="shared" si="90"/>
        <v>0</v>
      </c>
      <c r="AB100" s="72">
        <f t="shared" si="91"/>
        <v>0.95393920141694566</v>
      </c>
      <c r="AC100" s="72">
        <f t="shared" ref="AC100:AC131" si="123">IFERROR(((W100*Q100)+(X100*AB100))/J100,"")</f>
        <v>0</v>
      </c>
      <c r="AD100" s="72">
        <f t="shared" si="93"/>
        <v>0</v>
      </c>
      <c r="AE100" s="72">
        <f t="shared" ref="AE100:AE131" si="124">IFERROR(AD100/K100*100,"")</f>
        <v>0</v>
      </c>
      <c r="AF100" s="72" t="str">
        <f>IF(OR(AE100="",AD100=""),"",IF(AE100&lt;='OS-DORAEN'!$B$6,"PASS","FAIL"))</f>
        <v>PASS</v>
      </c>
      <c r="AG100" s="72">
        <f t="shared" si="95"/>
        <v>0.52678268764263703</v>
      </c>
      <c r="AH100" s="72">
        <f t="shared" ref="AH100:AH131" si="125">IFERROR(((W100*M100)+(X100*AG100))/J100,"")</f>
        <v>0</v>
      </c>
      <c r="AI100" s="72">
        <f t="shared" si="97"/>
        <v>0</v>
      </c>
      <c r="AJ100" s="72">
        <f t="shared" ref="AJ100:AJ131" si="126">IFERROR(AI100/K100*100,"")</f>
        <v>0</v>
      </c>
      <c r="AK100" s="72" t="str">
        <f>IF(OR(AJ100="",AI100=""),"",IF(AJ100&lt;='OS-DORAEN'!$B$5,"PASS","FAIL"))</f>
        <v>PASS</v>
      </c>
      <c r="AL100" s="72" t="str">
        <f t="shared" si="99"/>
        <v/>
      </c>
      <c r="AM100" s="72" t="str">
        <f t="shared" si="100"/>
        <v/>
      </c>
      <c r="AN100" s="72" t="str">
        <f t="shared" ref="AN100:AN131" si="127">IFERROR(T100*AM100/SQRT(S100)/1000,"")</f>
        <v/>
      </c>
      <c r="AO100" s="72" t="str">
        <f t="shared" ref="AO100:AO131" si="128">IF(OR(R100="",S100="",T100=""),"NOT CHECKED",IF(AN100&gt;=R100,"PASS","FAIL"))</f>
        <v>PASS</v>
      </c>
      <c r="AP100" s="72" t="str">
        <f t="shared" ref="AP100:AP131" si="129">IF(OR(B100="",E100=""),"",IF(AND(Z100="PASS",AF100="PASS",AK100="PASS",AO100="PASS"),"SUITABLE","NOT SUITABLE"))</f>
        <v/>
      </c>
      <c r="AQ100" s="72" t="str">
        <f t="shared" si="104"/>
        <v/>
      </c>
      <c r="AR100" s="72" t="str">
        <f t="shared" si="121"/>
        <v/>
      </c>
      <c r="AS100" s="72">
        <f t="shared" si="105"/>
        <v>0</v>
      </c>
      <c r="AT100" s="72">
        <f>IF(AS100="","",IF(AS100&lt;=Lists!$J$2,Lists!$J$2,IFERROR(INDEX(Lists!$J$2:$J$28,IF(INDEX(Lists!$J$2:$J$28,MATCH(AS100,Lists!$J$2:$J$28,1))=AS100,MATCH(AS100,Lists!$J$2:$J$28,1),MATCH(AS100,Lists!$J$2:$J$28,1)+1)),"NO STANDARD CB")))</f>
        <v>16</v>
      </c>
      <c r="AU100" s="72" t="str">
        <f t="shared" ref="AU100:AU131" si="130">IF(AT100="","","Manufacturer-specific adjustable trip unit")</f>
        <v>Manufacturer-specific adjustable trip unit</v>
      </c>
      <c r="AV100" s="72">
        <f t="shared" si="107"/>
        <v>0</v>
      </c>
      <c r="AW100" s="72" t="str">
        <f t="shared" si="108"/>
        <v>Verify manufacturer instantaneous/magnetic pickup</v>
      </c>
      <c r="AX100" s="72" t="str">
        <f t="shared" si="109"/>
        <v>VERIFY MANUFACTURER</v>
      </c>
      <c r="AY100" s="72" t="str">
        <f t="shared" si="110"/>
        <v>PASS</v>
      </c>
      <c r="AZ100" s="72" t="str">
        <f t="shared" si="111"/>
        <v>16 A MCCB; target Ir 0.0 A; manufacturer trip-unit verification required</v>
      </c>
      <c r="BA100" s="73"/>
      <c r="BB100" s="72" t="str">
        <f t="shared" ref="BB100:BB131" si="131">IF(OR(R100="",BA100=""),"ENTER CB Icu/Ics",IF(BA100&gt;=R100,"PASS","FAIL - CB Icu/Ics &lt; FAULT LEVEL"))</f>
        <v>ENTER CB Icu/Ics</v>
      </c>
      <c r="BC100" s="72" t="str">
        <f t="shared" si="113"/>
        <v>Enter manufacturer CB Icu/Ics. Required ≥ 0.00 kA</v>
      </c>
      <c r="BD100" s="72" t="str">
        <f>IF(OR(AS100="",AT100="",AV100=""),"",IF(AND(AT100&gt;=AS100,COUNTIF(Lists!$J$2:$J$28,AT100)&gt;0,AV100&gt;=AS100,AV100&lt;=AT100),"PASS","FAIL - REVIEW MCCB FRAME/TRIP UNIT"))</f>
        <v>PASS</v>
      </c>
      <c r="BE100" s="86"/>
      <c r="BF100" s="86" t="str">
        <f t="shared" si="114"/>
        <v>XLPE</v>
      </c>
      <c r="BG100" s="86" t="str">
        <f t="shared" si="115"/>
        <v>3C</v>
      </c>
      <c r="BH100" s="86" t="str">
        <f t="shared" si="116"/>
        <v>Al</v>
      </c>
      <c r="BI100" s="86" t="str">
        <f t="shared" si="117"/>
        <v>XLPE</v>
      </c>
      <c r="BJ100" s="86" t="str">
        <f t="shared" si="118"/>
        <v>Armoured</v>
      </c>
      <c r="BK100" s="86" t="str">
        <f t="shared" si="119"/>
        <v/>
      </c>
      <c r="BL100" s="86">
        <f>IFERROR(SUMIFS('Cable Data Master'!$K:$K,'Cable Data Master'!$A:$A,$BF100,'Cable Data Master'!$B:$B,$BG100,'Cable Data Master'!$C:$C,$BH100,'Cable Data Master'!$D:$D,$BI100,'Cable Data Master'!$E:$E,$BJ100,'Cable Data Master'!$F:$F,$BK100),"")</f>
        <v>0</v>
      </c>
      <c r="BM100" s="86">
        <f>IFERROR(SUMIFS('Cable Data Master'!$L:$L,'Cable Data Master'!$A:$A,$BF100,'Cable Data Master'!$B:$B,$BG100,'Cable Data Master'!$C:$C,$BH100,'Cable Data Master'!$D:$D,$BI100,'Cable Data Master'!$E:$E,$BJ100,'Cable Data Master'!$F:$F,$BK100),"")</f>
        <v>0</v>
      </c>
      <c r="BN100" s="86">
        <f>IFERROR(SUMIFS('Cable Data Master'!$G:$G,'Cable Data Master'!$A:$A,$BF100,'Cable Data Master'!$B:$B,$BG100,'Cable Data Master'!$C:$C,$BH100,'Cable Data Master'!$D:$D,$BI100,'Cable Data Master'!$E:$E,$BJ100,'Cable Data Master'!$F:$F,$BK100),"")</f>
        <v>0</v>
      </c>
      <c r="BO100" s="86">
        <f>IFERROR(SUMIFS('Cable Data Master'!$H:$H,'Cable Data Master'!$A:$A,$BF100,'Cable Data Master'!$B:$B,$BG100,'Cable Data Master'!$C:$C,$BH100,'Cable Data Master'!$D:$D,$BI100,'Cable Data Master'!$E:$E,$BJ100,'Cable Data Master'!$F:$F,$BK100),"")</f>
        <v>0</v>
      </c>
      <c r="BP100" s="86">
        <f>IFERROR(SUMIFS('Cable Data Master'!$I:$I,'Cable Data Master'!$A:$A,$BF100,'Cable Data Master'!$B:$B,$BG100,'Cable Data Master'!$C:$C,$BH100,'Cable Data Master'!$D:$D,$BI100,'Cable Data Master'!$E:$E,$BJ100,'Cable Data Master'!$F:$F,$BK100),"")</f>
        <v>0</v>
      </c>
      <c r="BQ100" s="86">
        <f>IFERROR(SUMIFS('Cable Data Master'!$J:$J,'Cable Data Master'!$A:$A,$BF100,'Cable Data Master'!$B:$B,$BG100,'Cable Data Master'!$C:$C,$BH100,'Cable Data Master'!$D:$D,$BI100,'Cable Data Master'!$E:$E,$BJ100,'Cable Data Master'!$F:$F,$BK100),"")</f>
        <v>0</v>
      </c>
      <c r="BR100" s="86"/>
    </row>
    <row r="101" spans="1:70" s="87" customFormat="1" ht="30" customHeight="1" x14ac:dyDescent="0.35">
      <c r="A101" s="72">
        <v>98</v>
      </c>
      <c r="B101" s="73"/>
      <c r="C101" s="73"/>
      <c r="D101" s="74">
        <v>4.5</v>
      </c>
      <c r="E101" s="74"/>
      <c r="F101" s="74" t="s">
        <v>132</v>
      </c>
      <c r="G101" s="72" t="str">
        <f>IF(OR(C101="",D101="",E101="",H101="",J101="",K101="",L101="",M101="",N101="",O101="",P101="",Q101="",R101="",S101=""),"",IFERROR(LOOKUP(2,1/(('AUTO ENGINE'!$A$2:$A$1201=ROW())*('AUTO ENGINE'!$M$2:$M$1201=1)),'AUTO ENGINE'!$B$2:$B$1201),"NO CABLE PASSES"))</f>
        <v/>
      </c>
      <c r="H101" s="73" t="s">
        <v>133</v>
      </c>
      <c r="I101" s="72">
        <f t="shared" si="82"/>
        <v>0</v>
      </c>
      <c r="J101" s="73">
        <v>1</v>
      </c>
      <c r="K101" s="73">
        <v>415</v>
      </c>
      <c r="L101" s="73">
        <v>0.53</v>
      </c>
      <c r="M101" s="73">
        <v>0.85</v>
      </c>
      <c r="N101" s="73">
        <v>0.95399999999999996</v>
      </c>
      <c r="O101" s="73"/>
      <c r="P101" s="73">
        <v>1.5</v>
      </c>
      <c r="Q101" s="73">
        <v>0.3</v>
      </c>
      <c r="R101" s="72">
        <f t="shared" si="83"/>
        <v>0</v>
      </c>
      <c r="S101" s="73">
        <v>0.2</v>
      </c>
      <c r="T101" s="72">
        <f t="shared" si="84"/>
        <v>0</v>
      </c>
      <c r="U101" s="72">
        <f t="shared" si="120"/>
        <v>0</v>
      </c>
      <c r="V101" s="72">
        <f t="shared" si="85"/>
        <v>0</v>
      </c>
      <c r="W101" s="72">
        <f t="shared" si="86"/>
        <v>0</v>
      </c>
      <c r="X101" s="72">
        <f t="shared" si="87"/>
        <v>0</v>
      </c>
      <c r="Y101" s="72">
        <f t="shared" si="88"/>
        <v>0</v>
      </c>
      <c r="Z101" s="72" t="str">
        <f t="shared" si="122"/>
        <v>PASS</v>
      </c>
      <c r="AA101" s="72">
        <f t="shared" si="90"/>
        <v>0</v>
      </c>
      <c r="AB101" s="72">
        <f t="shared" si="91"/>
        <v>0.95393920141694566</v>
      </c>
      <c r="AC101" s="72">
        <f t="shared" si="123"/>
        <v>0</v>
      </c>
      <c r="AD101" s="72">
        <f t="shared" si="93"/>
        <v>0</v>
      </c>
      <c r="AE101" s="72">
        <f t="shared" si="124"/>
        <v>0</v>
      </c>
      <c r="AF101" s="72" t="str">
        <f>IF(OR(AE101="",AD101=""),"",IF(AE101&lt;='OS-DORAEN'!$B$6,"PASS","FAIL"))</f>
        <v>PASS</v>
      </c>
      <c r="AG101" s="72">
        <f t="shared" si="95"/>
        <v>0.52678268764263703</v>
      </c>
      <c r="AH101" s="72">
        <f t="shared" si="125"/>
        <v>0</v>
      </c>
      <c r="AI101" s="72">
        <f t="shared" si="97"/>
        <v>0</v>
      </c>
      <c r="AJ101" s="72">
        <f t="shared" si="126"/>
        <v>0</v>
      </c>
      <c r="AK101" s="72" t="str">
        <f>IF(OR(AJ101="",AI101=""),"",IF(AJ101&lt;='OS-DORAEN'!$B$5,"PASS","FAIL"))</f>
        <v>PASS</v>
      </c>
      <c r="AL101" s="72" t="str">
        <f t="shared" si="99"/>
        <v/>
      </c>
      <c r="AM101" s="72" t="str">
        <f t="shared" si="100"/>
        <v/>
      </c>
      <c r="AN101" s="72" t="str">
        <f t="shared" si="127"/>
        <v/>
      </c>
      <c r="AO101" s="72" t="str">
        <f t="shared" si="128"/>
        <v>PASS</v>
      </c>
      <c r="AP101" s="72" t="str">
        <f t="shared" si="129"/>
        <v/>
      </c>
      <c r="AQ101" s="72" t="str">
        <f t="shared" si="104"/>
        <v/>
      </c>
      <c r="AR101" s="72" t="str">
        <f t="shared" si="121"/>
        <v/>
      </c>
      <c r="AS101" s="72">
        <f t="shared" si="105"/>
        <v>0</v>
      </c>
      <c r="AT101" s="72">
        <f>IF(AS101="","",IF(AS101&lt;=Lists!$J$2,Lists!$J$2,IFERROR(INDEX(Lists!$J$2:$J$28,IF(INDEX(Lists!$J$2:$J$28,MATCH(AS101,Lists!$J$2:$J$28,1))=AS101,MATCH(AS101,Lists!$J$2:$J$28,1),MATCH(AS101,Lists!$J$2:$J$28,1)+1)),"NO STANDARD CB")))</f>
        <v>16</v>
      </c>
      <c r="AU101" s="72" t="str">
        <f t="shared" si="130"/>
        <v>Manufacturer-specific adjustable trip unit</v>
      </c>
      <c r="AV101" s="72">
        <f t="shared" si="107"/>
        <v>0</v>
      </c>
      <c r="AW101" s="72" t="str">
        <f t="shared" si="108"/>
        <v>Verify manufacturer instantaneous/magnetic pickup</v>
      </c>
      <c r="AX101" s="72" t="str">
        <f t="shared" si="109"/>
        <v>VERIFY MANUFACTURER</v>
      </c>
      <c r="AY101" s="72" t="str">
        <f t="shared" si="110"/>
        <v>PASS</v>
      </c>
      <c r="AZ101" s="72" t="str">
        <f t="shared" si="111"/>
        <v>16 A MCCB; target Ir 0.0 A; manufacturer trip-unit verification required</v>
      </c>
      <c r="BA101" s="73"/>
      <c r="BB101" s="72" t="str">
        <f t="shared" si="131"/>
        <v>ENTER CB Icu/Ics</v>
      </c>
      <c r="BC101" s="72" t="str">
        <f t="shared" si="113"/>
        <v>Enter manufacturer CB Icu/Ics. Required ≥ 0.00 kA</v>
      </c>
      <c r="BD101" s="72" t="str">
        <f>IF(OR(AS101="",AT101="",AV101=""),"",IF(AND(AT101&gt;=AS101,COUNTIF(Lists!$J$2:$J$28,AT101)&gt;0,AV101&gt;=AS101,AV101&lt;=AT101),"PASS","FAIL - REVIEW MCCB FRAME/TRIP UNIT"))</f>
        <v>PASS</v>
      </c>
      <c r="BE101" s="86"/>
      <c r="BF101" s="86" t="str">
        <f t="shared" si="114"/>
        <v>XLPE</v>
      </c>
      <c r="BG101" s="86" t="str">
        <f t="shared" si="115"/>
        <v>3C</v>
      </c>
      <c r="BH101" s="86" t="str">
        <f t="shared" si="116"/>
        <v>Al</v>
      </c>
      <c r="BI101" s="86" t="str">
        <f t="shared" si="117"/>
        <v>XLPE</v>
      </c>
      <c r="BJ101" s="86" t="str">
        <f t="shared" si="118"/>
        <v>Armoured</v>
      </c>
      <c r="BK101" s="86" t="str">
        <f t="shared" si="119"/>
        <v/>
      </c>
      <c r="BL101" s="86">
        <f>IFERROR(SUMIFS('Cable Data Master'!$K:$K,'Cable Data Master'!$A:$A,$BF101,'Cable Data Master'!$B:$B,$BG101,'Cable Data Master'!$C:$C,$BH101,'Cable Data Master'!$D:$D,$BI101,'Cable Data Master'!$E:$E,$BJ101,'Cable Data Master'!$F:$F,$BK101),"")</f>
        <v>0</v>
      </c>
      <c r="BM101" s="86">
        <f>IFERROR(SUMIFS('Cable Data Master'!$L:$L,'Cable Data Master'!$A:$A,$BF101,'Cable Data Master'!$B:$B,$BG101,'Cable Data Master'!$C:$C,$BH101,'Cable Data Master'!$D:$D,$BI101,'Cable Data Master'!$E:$E,$BJ101,'Cable Data Master'!$F:$F,$BK101),"")</f>
        <v>0</v>
      </c>
      <c r="BN101" s="86">
        <f>IFERROR(SUMIFS('Cable Data Master'!$G:$G,'Cable Data Master'!$A:$A,$BF101,'Cable Data Master'!$B:$B,$BG101,'Cable Data Master'!$C:$C,$BH101,'Cable Data Master'!$D:$D,$BI101,'Cable Data Master'!$E:$E,$BJ101,'Cable Data Master'!$F:$F,$BK101),"")</f>
        <v>0</v>
      </c>
      <c r="BO101" s="86">
        <f>IFERROR(SUMIFS('Cable Data Master'!$H:$H,'Cable Data Master'!$A:$A,$BF101,'Cable Data Master'!$B:$B,$BG101,'Cable Data Master'!$C:$C,$BH101,'Cable Data Master'!$D:$D,$BI101,'Cable Data Master'!$E:$E,$BJ101,'Cable Data Master'!$F:$F,$BK101),"")</f>
        <v>0</v>
      </c>
      <c r="BP101" s="86">
        <f>IFERROR(SUMIFS('Cable Data Master'!$I:$I,'Cable Data Master'!$A:$A,$BF101,'Cable Data Master'!$B:$B,$BG101,'Cable Data Master'!$C:$C,$BH101,'Cable Data Master'!$D:$D,$BI101,'Cable Data Master'!$E:$E,$BJ101,'Cable Data Master'!$F:$F,$BK101),"")</f>
        <v>0</v>
      </c>
      <c r="BQ101" s="86">
        <f>IFERROR(SUMIFS('Cable Data Master'!$J:$J,'Cable Data Master'!$A:$A,$BF101,'Cable Data Master'!$B:$B,$BG101,'Cable Data Master'!$C:$C,$BH101,'Cable Data Master'!$D:$D,$BI101,'Cable Data Master'!$E:$E,$BJ101,'Cable Data Master'!$F:$F,$BK101),"")</f>
        <v>0</v>
      </c>
      <c r="BR101" s="86"/>
    </row>
    <row r="102" spans="1:70" s="87" customFormat="1" ht="30" customHeight="1" x14ac:dyDescent="0.35">
      <c r="A102" s="72">
        <v>99</v>
      </c>
      <c r="B102" s="73"/>
      <c r="C102" s="73"/>
      <c r="D102" s="74">
        <v>4.5</v>
      </c>
      <c r="E102" s="74"/>
      <c r="F102" s="74" t="s">
        <v>132</v>
      </c>
      <c r="G102" s="72" t="str">
        <f>IF(OR(C102="",D102="",E102="",H102="",J102="",K102="",L102="",M102="",N102="",O102="",P102="",Q102="",R102="",S102=""),"",IFERROR(LOOKUP(2,1/(('AUTO ENGINE'!$A$2:$A$1201=ROW())*('AUTO ENGINE'!$M$2:$M$1201=1)),'AUTO ENGINE'!$B$2:$B$1201),"NO CABLE PASSES"))</f>
        <v/>
      </c>
      <c r="H102" s="73" t="s">
        <v>133</v>
      </c>
      <c r="I102" s="72">
        <f t="shared" si="82"/>
        <v>0</v>
      </c>
      <c r="J102" s="73">
        <v>1</v>
      </c>
      <c r="K102" s="73">
        <v>415</v>
      </c>
      <c r="L102" s="73">
        <v>0.53</v>
      </c>
      <c r="M102" s="73">
        <v>0.85</v>
      </c>
      <c r="N102" s="73">
        <v>0.95399999999999996</v>
      </c>
      <c r="O102" s="73"/>
      <c r="P102" s="73">
        <v>1.5</v>
      </c>
      <c r="Q102" s="73">
        <v>0.3</v>
      </c>
      <c r="R102" s="72">
        <f t="shared" si="83"/>
        <v>0</v>
      </c>
      <c r="S102" s="73">
        <v>0.2</v>
      </c>
      <c r="T102" s="72">
        <f t="shared" si="84"/>
        <v>0</v>
      </c>
      <c r="U102" s="72">
        <f t="shared" si="120"/>
        <v>0</v>
      </c>
      <c r="V102" s="72">
        <f t="shared" si="85"/>
        <v>0</v>
      </c>
      <c r="W102" s="72">
        <f t="shared" si="86"/>
        <v>0</v>
      </c>
      <c r="X102" s="72">
        <f t="shared" si="87"/>
        <v>0</v>
      </c>
      <c r="Y102" s="72">
        <f t="shared" si="88"/>
        <v>0</v>
      </c>
      <c r="Z102" s="72" t="str">
        <f t="shared" si="122"/>
        <v>PASS</v>
      </c>
      <c r="AA102" s="72">
        <f t="shared" si="90"/>
        <v>0</v>
      </c>
      <c r="AB102" s="72">
        <f t="shared" si="91"/>
        <v>0.95393920141694566</v>
      </c>
      <c r="AC102" s="72">
        <f t="shared" si="123"/>
        <v>0</v>
      </c>
      <c r="AD102" s="72">
        <f t="shared" si="93"/>
        <v>0</v>
      </c>
      <c r="AE102" s="72">
        <f t="shared" si="124"/>
        <v>0</v>
      </c>
      <c r="AF102" s="72" t="str">
        <f>IF(OR(AE102="",AD102=""),"",IF(AE102&lt;='OS-DORAEN'!$B$6,"PASS","FAIL"))</f>
        <v>PASS</v>
      </c>
      <c r="AG102" s="72">
        <f t="shared" si="95"/>
        <v>0.52678268764263703</v>
      </c>
      <c r="AH102" s="72">
        <f t="shared" si="125"/>
        <v>0</v>
      </c>
      <c r="AI102" s="72">
        <f t="shared" si="97"/>
        <v>0</v>
      </c>
      <c r="AJ102" s="72">
        <f t="shared" si="126"/>
        <v>0</v>
      </c>
      <c r="AK102" s="72" t="str">
        <f>IF(OR(AJ102="",AI102=""),"",IF(AJ102&lt;='OS-DORAEN'!$B$5,"PASS","FAIL"))</f>
        <v>PASS</v>
      </c>
      <c r="AL102" s="72" t="str">
        <f t="shared" si="99"/>
        <v/>
      </c>
      <c r="AM102" s="72" t="str">
        <f t="shared" si="100"/>
        <v/>
      </c>
      <c r="AN102" s="72" t="str">
        <f t="shared" si="127"/>
        <v/>
      </c>
      <c r="AO102" s="72" t="str">
        <f t="shared" si="128"/>
        <v>PASS</v>
      </c>
      <c r="AP102" s="72" t="str">
        <f t="shared" si="129"/>
        <v/>
      </c>
      <c r="AQ102" s="72" t="str">
        <f t="shared" si="104"/>
        <v/>
      </c>
      <c r="AR102" s="72" t="str">
        <f t="shared" si="121"/>
        <v/>
      </c>
      <c r="AS102" s="72">
        <f t="shared" si="105"/>
        <v>0</v>
      </c>
      <c r="AT102" s="72">
        <f>IF(AS102="","",IF(AS102&lt;=Lists!$J$2,Lists!$J$2,IFERROR(INDEX(Lists!$J$2:$J$28,IF(INDEX(Lists!$J$2:$J$28,MATCH(AS102,Lists!$J$2:$J$28,1))=AS102,MATCH(AS102,Lists!$J$2:$J$28,1),MATCH(AS102,Lists!$J$2:$J$28,1)+1)),"NO STANDARD CB")))</f>
        <v>16</v>
      </c>
      <c r="AU102" s="72" t="str">
        <f t="shared" si="130"/>
        <v>Manufacturer-specific adjustable trip unit</v>
      </c>
      <c r="AV102" s="72">
        <f t="shared" si="107"/>
        <v>0</v>
      </c>
      <c r="AW102" s="72" t="str">
        <f t="shared" si="108"/>
        <v>Verify manufacturer instantaneous/magnetic pickup</v>
      </c>
      <c r="AX102" s="72" t="str">
        <f t="shared" si="109"/>
        <v>VERIFY MANUFACTURER</v>
      </c>
      <c r="AY102" s="72" t="str">
        <f t="shared" si="110"/>
        <v>PASS</v>
      </c>
      <c r="AZ102" s="72" t="str">
        <f t="shared" si="111"/>
        <v>16 A MCCB; target Ir 0.0 A; manufacturer trip-unit verification required</v>
      </c>
      <c r="BA102" s="73"/>
      <c r="BB102" s="72" t="str">
        <f t="shared" si="131"/>
        <v>ENTER CB Icu/Ics</v>
      </c>
      <c r="BC102" s="72" t="str">
        <f t="shared" si="113"/>
        <v>Enter manufacturer CB Icu/Ics. Required ≥ 0.00 kA</v>
      </c>
      <c r="BD102" s="72" t="str">
        <f>IF(OR(AS102="",AT102="",AV102=""),"",IF(AND(AT102&gt;=AS102,COUNTIF(Lists!$J$2:$J$28,AT102)&gt;0,AV102&gt;=AS102,AV102&lt;=AT102),"PASS","FAIL - REVIEW MCCB FRAME/TRIP UNIT"))</f>
        <v>PASS</v>
      </c>
      <c r="BE102" s="86"/>
      <c r="BF102" s="86" t="str">
        <f t="shared" si="114"/>
        <v>XLPE</v>
      </c>
      <c r="BG102" s="86" t="str">
        <f t="shared" si="115"/>
        <v>3C</v>
      </c>
      <c r="BH102" s="86" t="str">
        <f t="shared" si="116"/>
        <v>Al</v>
      </c>
      <c r="BI102" s="86" t="str">
        <f t="shared" si="117"/>
        <v>XLPE</v>
      </c>
      <c r="BJ102" s="86" t="str">
        <f t="shared" si="118"/>
        <v>Armoured</v>
      </c>
      <c r="BK102" s="86" t="str">
        <f t="shared" si="119"/>
        <v/>
      </c>
      <c r="BL102" s="86">
        <f>IFERROR(SUMIFS('Cable Data Master'!$K:$K,'Cable Data Master'!$A:$A,$BF102,'Cable Data Master'!$B:$B,$BG102,'Cable Data Master'!$C:$C,$BH102,'Cable Data Master'!$D:$D,$BI102,'Cable Data Master'!$E:$E,$BJ102,'Cable Data Master'!$F:$F,$BK102),"")</f>
        <v>0</v>
      </c>
      <c r="BM102" s="86">
        <f>IFERROR(SUMIFS('Cable Data Master'!$L:$L,'Cable Data Master'!$A:$A,$BF102,'Cable Data Master'!$B:$B,$BG102,'Cable Data Master'!$C:$C,$BH102,'Cable Data Master'!$D:$D,$BI102,'Cable Data Master'!$E:$E,$BJ102,'Cable Data Master'!$F:$F,$BK102),"")</f>
        <v>0</v>
      </c>
      <c r="BN102" s="86">
        <f>IFERROR(SUMIFS('Cable Data Master'!$G:$G,'Cable Data Master'!$A:$A,$BF102,'Cable Data Master'!$B:$B,$BG102,'Cable Data Master'!$C:$C,$BH102,'Cable Data Master'!$D:$D,$BI102,'Cable Data Master'!$E:$E,$BJ102,'Cable Data Master'!$F:$F,$BK102),"")</f>
        <v>0</v>
      </c>
      <c r="BO102" s="86">
        <f>IFERROR(SUMIFS('Cable Data Master'!$H:$H,'Cable Data Master'!$A:$A,$BF102,'Cable Data Master'!$B:$B,$BG102,'Cable Data Master'!$C:$C,$BH102,'Cable Data Master'!$D:$D,$BI102,'Cable Data Master'!$E:$E,$BJ102,'Cable Data Master'!$F:$F,$BK102),"")</f>
        <v>0</v>
      </c>
      <c r="BP102" s="86">
        <f>IFERROR(SUMIFS('Cable Data Master'!$I:$I,'Cable Data Master'!$A:$A,$BF102,'Cable Data Master'!$B:$B,$BG102,'Cable Data Master'!$C:$C,$BH102,'Cable Data Master'!$D:$D,$BI102,'Cable Data Master'!$E:$E,$BJ102,'Cable Data Master'!$F:$F,$BK102),"")</f>
        <v>0</v>
      </c>
      <c r="BQ102" s="86">
        <f>IFERROR(SUMIFS('Cable Data Master'!$J:$J,'Cable Data Master'!$A:$A,$BF102,'Cable Data Master'!$B:$B,$BG102,'Cable Data Master'!$C:$C,$BH102,'Cable Data Master'!$D:$D,$BI102,'Cable Data Master'!$E:$E,$BJ102,'Cable Data Master'!$F:$F,$BK102),"")</f>
        <v>0</v>
      </c>
      <c r="BR102" s="86"/>
    </row>
    <row r="103" spans="1:70" s="87" customFormat="1" ht="30" customHeight="1" x14ac:dyDescent="0.35">
      <c r="A103" s="72">
        <v>100</v>
      </c>
      <c r="B103" s="73"/>
      <c r="C103" s="73"/>
      <c r="D103" s="74">
        <v>4.5</v>
      </c>
      <c r="E103" s="74"/>
      <c r="F103" s="74" t="s">
        <v>132</v>
      </c>
      <c r="G103" s="72" t="str">
        <f>IF(OR(C103="",D103="",E103="",H103="",J103="",K103="",L103="",M103="",N103="",O103="",P103="",Q103="",R103="",S103=""),"",IFERROR(LOOKUP(2,1/(('AUTO ENGINE'!$A$2:$A$1201=ROW())*('AUTO ENGINE'!$M$2:$M$1201=1)),'AUTO ENGINE'!$B$2:$B$1201),"NO CABLE PASSES"))</f>
        <v/>
      </c>
      <c r="H103" s="73" t="s">
        <v>133</v>
      </c>
      <c r="I103" s="72">
        <f t="shared" si="82"/>
        <v>0</v>
      </c>
      <c r="J103" s="73">
        <v>1</v>
      </c>
      <c r="K103" s="73">
        <v>415</v>
      </c>
      <c r="L103" s="73">
        <v>0.53</v>
      </c>
      <c r="M103" s="73">
        <v>0.85</v>
      </c>
      <c r="N103" s="73">
        <v>0.95399999999999996</v>
      </c>
      <c r="O103" s="73"/>
      <c r="P103" s="73">
        <v>1.5</v>
      </c>
      <c r="Q103" s="73">
        <v>0.3</v>
      </c>
      <c r="R103" s="72">
        <f t="shared" si="83"/>
        <v>0</v>
      </c>
      <c r="S103" s="73">
        <v>0.2</v>
      </c>
      <c r="T103" s="72">
        <f t="shared" si="84"/>
        <v>0</v>
      </c>
      <c r="U103" s="72">
        <f t="shared" si="120"/>
        <v>0</v>
      </c>
      <c r="V103" s="72">
        <f t="shared" si="85"/>
        <v>0</v>
      </c>
      <c r="W103" s="72">
        <f t="shared" si="86"/>
        <v>0</v>
      </c>
      <c r="X103" s="72">
        <f t="shared" si="87"/>
        <v>0</v>
      </c>
      <c r="Y103" s="72">
        <f t="shared" si="88"/>
        <v>0</v>
      </c>
      <c r="Z103" s="72" t="str">
        <f t="shared" si="122"/>
        <v>PASS</v>
      </c>
      <c r="AA103" s="72">
        <f t="shared" si="90"/>
        <v>0</v>
      </c>
      <c r="AB103" s="72">
        <f t="shared" si="91"/>
        <v>0.95393920141694566</v>
      </c>
      <c r="AC103" s="72">
        <f t="shared" si="123"/>
        <v>0</v>
      </c>
      <c r="AD103" s="72">
        <f t="shared" si="93"/>
        <v>0</v>
      </c>
      <c r="AE103" s="72">
        <f t="shared" si="124"/>
        <v>0</v>
      </c>
      <c r="AF103" s="72" t="str">
        <f>IF(OR(AE103="",AD103=""),"",IF(AE103&lt;='OS-DORAEN'!$B$6,"PASS","FAIL"))</f>
        <v>PASS</v>
      </c>
      <c r="AG103" s="72">
        <f t="shared" si="95"/>
        <v>0.52678268764263703</v>
      </c>
      <c r="AH103" s="72">
        <f t="shared" si="125"/>
        <v>0</v>
      </c>
      <c r="AI103" s="72">
        <f t="shared" si="97"/>
        <v>0</v>
      </c>
      <c r="AJ103" s="72">
        <f t="shared" si="126"/>
        <v>0</v>
      </c>
      <c r="AK103" s="72" t="str">
        <f>IF(OR(AJ103="",AI103=""),"",IF(AJ103&lt;='OS-DORAEN'!$B$5,"PASS","FAIL"))</f>
        <v>PASS</v>
      </c>
      <c r="AL103" s="72" t="str">
        <f t="shared" si="99"/>
        <v/>
      </c>
      <c r="AM103" s="72" t="str">
        <f t="shared" si="100"/>
        <v/>
      </c>
      <c r="AN103" s="72" t="str">
        <f t="shared" si="127"/>
        <v/>
      </c>
      <c r="AO103" s="72" t="str">
        <f t="shared" si="128"/>
        <v>PASS</v>
      </c>
      <c r="AP103" s="72" t="str">
        <f t="shared" si="129"/>
        <v/>
      </c>
      <c r="AQ103" s="72" t="str">
        <f t="shared" si="104"/>
        <v/>
      </c>
      <c r="AR103" s="72" t="str">
        <f t="shared" si="121"/>
        <v/>
      </c>
      <c r="AS103" s="72">
        <f t="shared" si="105"/>
        <v>0</v>
      </c>
      <c r="AT103" s="72">
        <f>IF(AS103="","",IF(AS103&lt;=Lists!$J$2,Lists!$J$2,IFERROR(INDEX(Lists!$J$2:$J$28,IF(INDEX(Lists!$J$2:$J$28,MATCH(AS103,Lists!$J$2:$J$28,1))=AS103,MATCH(AS103,Lists!$J$2:$J$28,1),MATCH(AS103,Lists!$J$2:$J$28,1)+1)),"NO STANDARD CB")))</f>
        <v>16</v>
      </c>
      <c r="AU103" s="72" t="str">
        <f t="shared" si="130"/>
        <v>Manufacturer-specific adjustable trip unit</v>
      </c>
      <c r="AV103" s="72">
        <f t="shared" si="107"/>
        <v>0</v>
      </c>
      <c r="AW103" s="72" t="str">
        <f t="shared" si="108"/>
        <v>Verify manufacturer instantaneous/magnetic pickup</v>
      </c>
      <c r="AX103" s="72" t="str">
        <f t="shared" si="109"/>
        <v>VERIFY MANUFACTURER</v>
      </c>
      <c r="AY103" s="72" t="str">
        <f t="shared" si="110"/>
        <v>PASS</v>
      </c>
      <c r="AZ103" s="72" t="str">
        <f t="shared" si="111"/>
        <v>16 A MCCB; target Ir 0.0 A; manufacturer trip-unit verification required</v>
      </c>
      <c r="BA103" s="73"/>
      <c r="BB103" s="72" t="str">
        <f t="shared" si="131"/>
        <v>ENTER CB Icu/Ics</v>
      </c>
      <c r="BC103" s="72" t="str">
        <f t="shared" si="113"/>
        <v>Enter manufacturer CB Icu/Ics. Required ≥ 0.00 kA</v>
      </c>
      <c r="BD103" s="72" t="str">
        <f>IF(OR(AS103="",AT103="",AV103=""),"",IF(AND(AT103&gt;=AS103,COUNTIF(Lists!$J$2:$J$28,AT103)&gt;0,AV103&gt;=AS103,AV103&lt;=AT103),"PASS","FAIL - REVIEW MCCB FRAME/TRIP UNIT"))</f>
        <v>PASS</v>
      </c>
      <c r="BE103" s="86"/>
      <c r="BF103" s="86" t="str">
        <f t="shared" si="114"/>
        <v>XLPE</v>
      </c>
      <c r="BG103" s="86" t="str">
        <f t="shared" si="115"/>
        <v>3C</v>
      </c>
      <c r="BH103" s="86" t="str">
        <f t="shared" si="116"/>
        <v>Al</v>
      </c>
      <c r="BI103" s="86" t="str">
        <f t="shared" si="117"/>
        <v>XLPE</v>
      </c>
      <c r="BJ103" s="86" t="str">
        <f t="shared" si="118"/>
        <v>Armoured</v>
      </c>
      <c r="BK103" s="86" t="str">
        <f t="shared" si="119"/>
        <v/>
      </c>
      <c r="BL103" s="86">
        <f>IFERROR(SUMIFS('Cable Data Master'!$K:$K,'Cable Data Master'!$A:$A,$BF103,'Cable Data Master'!$B:$B,$BG103,'Cable Data Master'!$C:$C,$BH103,'Cable Data Master'!$D:$D,$BI103,'Cable Data Master'!$E:$E,$BJ103,'Cable Data Master'!$F:$F,$BK103),"")</f>
        <v>0</v>
      </c>
      <c r="BM103" s="86">
        <f>IFERROR(SUMIFS('Cable Data Master'!$L:$L,'Cable Data Master'!$A:$A,$BF103,'Cable Data Master'!$B:$B,$BG103,'Cable Data Master'!$C:$C,$BH103,'Cable Data Master'!$D:$D,$BI103,'Cable Data Master'!$E:$E,$BJ103,'Cable Data Master'!$F:$F,$BK103),"")</f>
        <v>0</v>
      </c>
      <c r="BN103" s="86">
        <f>IFERROR(SUMIFS('Cable Data Master'!$G:$G,'Cable Data Master'!$A:$A,$BF103,'Cable Data Master'!$B:$B,$BG103,'Cable Data Master'!$C:$C,$BH103,'Cable Data Master'!$D:$D,$BI103,'Cable Data Master'!$E:$E,$BJ103,'Cable Data Master'!$F:$F,$BK103),"")</f>
        <v>0</v>
      </c>
      <c r="BO103" s="86">
        <f>IFERROR(SUMIFS('Cable Data Master'!$H:$H,'Cable Data Master'!$A:$A,$BF103,'Cable Data Master'!$B:$B,$BG103,'Cable Data Master'!$C:$C,$BH103,'Cable Data Master'!$D:$D,$BI103,'Cable Data Master'!$E:$E,$BJ103,'Cable Data Master'!$F:$F,$BK103),"")</f>
        <v>0</v>
      </c>
      <c r="BP103" s="86">
        <f>IFERROR(SUMIFS('Cable Data Master'!$I:$I,'Cable Data Master'!$A:$A,$BF103,'Cable Data Master'!$B:$B,$BG103,'Cable Data Master'!$C:$C,$BH103,'Cable Data Master'!$D:$D,$BI103,'Cable Data Master'!$E:$E,$BJ103,'Cable Data Master'!$F:$F,$BK103),"")</f>
        <v>0</v>
      </c>
      <c r="BQ103" s="86">
        <f>IFERROR(SUMIFS('Cable Data Master'!$J:$J,'Cable Data Master'!$A:$A,$BF103,'Cable Data Master'!$B:$B,$BG103,'Cable Data Master'!$C:$C,$BH103,'Cable Data Master'!$D:$D,$BI103,'Cable Data Master'!$E:$E,$BJ103,'Cable Data Master'!$F:$F,$BK103),"")</f>
        <v>0</v>
      </c>
      <c r="BR103" s="86"/>
    </row>
  </sheetData>
  <autoFilter ref="A3:BD103" xr:uid="{00000000-0009-0000-0000-000002000000}"/>
  <mergeCells count="2">
    <mergeCell ref="A2:BD2"/>
    <mergeCell ref="A1:BD1"/>
  </mergeCells>
  <conditionalFormatting sqref="Z4:Z103">
    <cfRule type="cellIs" dxfId="23" priority="7" operator="equal">
      <formula>"PASS"</formula>
    </cfRule>
    <cfRule type="cellIs" dxfId="22" priority="8" operator="equal">
      <formula>"FAIL"</formula>
    </cfRule>
  </conditionalFormatting>
  <conditionalFormatting sqref="AF4:AF103">
    <cfRule type="cellIs" dxfId="21" priority="11" operator="equal">
      <formula>"PASS"</formula>
    </cfRule>
    <cfRule type="cellIs" dxfId="20" priority="12" operator="equal">
      <formula>"FAIL"</formula>
    </cfRule>
  </conditionalFormatting>
  <conditionalFormatting sqref="AK4:AK103">
    <cfRule type="cellIs" dxfId="19" priority="13" operator="equal">
      <formula>"PASS"</formula>
    </cfRule>
    <cfRule type="cellIs" dxfId="18" priority="14" operator="equal">
      <formula>"FAIL"</formula>
    </cfRule>
  </conditionalFormatting>
  <conditionalFormatting sqref="AO4:AO12">
    <cfRule type="expression" dxfId="17" priority="9">
      <formula>$AO4="SUITABLE"</formula>
    </cfRule>
    <cfRule type="expression" dxfId="16" priority="10">
      <formula>$AO4="NOT SUITABLE"</formula>
    </cfRule>
  </conditionalFormatting>
  <conditionalFormatting sqref="AO4:AO103">
    <cfRule type="cellIs" dxfId="15" priority="15" operator="equal">
      <formula>"PASS"</formula>
    </cfRule>
    <cfRule type="cellIs" dxfId="14" priority="16" operator="equal">
      <formula>"FAIL"</formula>
    </cfRule>
  </conditionalFormatting>
  <conditionalFormatting sqref="AP4:AP103">
    <cfRule type="cellIs" dxfId="13" priority="23" operator="equal">
      <formula>"SUITABLE"</formula>
    </cfRule>
    <cfRule type="cellIs" dxfId="12" priority="24" operator="equal">
      <formula>"NOT SUITABLE"</formula>
    </cfRule>
  </conditionalFormatting>
  <conditionalFormatting sqref="AV4:AY4">
    <cfRule type="expression" dxfId="11" priority="5">
      <formula>$AO4="SUITABLE"</formula>
    </cfRule>
    <cfRule type="expression" dxfId="10" priority="6">
      <formula>$AO4="NOT SUITABLE"</formula>
    </cfRule>
  </conditionalFormatting>
  <conditionalFormatting sqref="AW8">
    <cfRule type="expression" dxfId="9" priority="3">
      <formula>$AO8="SUITABLE"</formula>
    </cfRule>
    <cfRule type="expression" dxfId="8" priority="4">
      <formula>$AO8="NOT SUITABLE"</formula>
    </cfRule>
  </conditionalFormatting>
  <conditionalFormatting sqref="AX6">
    <cfRule type="expression" dxfId="7" priority="1">
      <formula>$AO6="SUITABLE"</formula>
    </cfRule>
    <cfRule type="expression" dxfId="6" priority="2">
      <formula>$AO6="NOT SUITABLE"</formula>
    </cfRule>
  </conditionalFormatting>
  <conditionalFormatting sqref="AY4:AY103">
    <cfRule type="cellIs" dxfId="5" priority="17" operator="equal">
      <formula>"PASS"</formula>
    </cfRule>
    <cfRule type="cellIs" dxfId="4" priority="18" operator="equal">
      <formula>"FAIL"</formula>
    </cfRule>
  </conditionalFormatting>
  <conditionalFormatting sqref="BB4:BB103">
    <cfRule type="cellIs" dxfId="3" priority="19" operator="equal">
      <formula>"PASS"</formula>
    </cfRule>
    <cfRule type="cellIs" dxfId="2" priority="20" operator="equal">
      <formula>"FAIL"</formula>
    </cfRule>
  </conditionalFormatting>
  <conditionalFormatting sqref="BD4:BD103">
    <cfRule type="cellIs" dxfId="1" priority="21" operator="equal">
      <formula>"PASS"</formula>
    </cfRule>
    <cfRule type="cellIs" dxfId="0" priority="22" operator="equal">
      <formula>"FAIL"</formula>
    </cfRule>
  </conditionalFormatting>
  <dataValidations count="13">
    <dataValidation type="list" allowBlank="1" sqref="F4:F103" xr:uid="{00000000-0002-0000-0200-000000000000}">
      <formula1>"DOL,Star-Delta,Soft Starter,VFD,Direct/Non-Motor"</formula1>
      <formula2>0</formula2>
    </dataValidation>
    <dataValidation type="list" allowBlank="1" sqref="AR4:AR103" xr:uid="{00000000-0002-0000-0200-000001000000}">
      <formula1>"MCCB,MCB"</formula1>
      <formula2>0</formula2>
    </dataValidation>
    <dataValidation type="list" allowBlank="1" sqref="AQ4:AQ103" xr:uid="{00000000-0002-0000-0200-000002000000}">
      <formula1>"2,3,4"</formula1>
      <formula2>0</formula2>
    </dataValidation>
    <dataValidation type="decimal" allowBlank="1" sqref="D4:D103" xr:uid="{00000000-0002-0000-0200-000003000000}">
      <formula1>0.1</formula1>
      <formula2>20</formula2>
    </dataValidation>
    <dataValidation type="decimal" allowBlank="1" sqref="E4:E103" xr:uid="{00000000-0002-0000-0200-000004000000}">
      <formula1>0</formula1>
      <formula2>10000</formula2>
    </dataValidation>
    <dataValidation type="decimal" allowBlank="1" sqref="J4:J103" xr:uid="{00000000-0002-0000-0200-000005000000}">
      <formula1>1</formula1>
      <formula2>20</formula2>
    </dataValidation>
    <dataValidation type="decimal" allowBlank="1" sqref="K4:K103" xr:uid="{00000000-0002-0000-0200-000006000000}">
      <formula1>50</formula1>
      <formula2>1000</formula2>
    </dataValidation>
    <dataValidation type="decimal" allowBlank="1" sqref="L4:L103" xr:uid="{00000000-0002-0000-0200-000007000000}">
      <formula1>0.01</formula1>
      <formula2>1</formula2>
    </dataValidation>
    <dataValidation type="decimal" allowBlank="1" sqref="M4:N103 Q4:Q103" xr:uid="{00000000-0002-0000-0200-000008000000}">
      <formula1>0.1</formula1>
      <formula2>1</formula2>
    </dataValidation>
    <dataValidation type="decimal" allowBlank="1" sqref="O4:O103" xr:uid="{00000000-0002-0000-0200-000009000000}">
      <formula1>0.001</formula1>
      <formula2>100</formula2>
    </dataValidation>
    <dataValidation type="decimal" allowBlank="1" sqref="P4:P103" xr:uid="{00000000-0002-0000-0200-00000A000000}">
      <formula1>0.1</formula1>
      <formula2>10</formula2>
    </dataValidation>
    <dataValidation type="decimal" allowBlank="1" sqref="S4:S103" xr:uid="{00000000-0002-0000-0200-00000B000000}">
      <formula1>0.01</formula1>
      <formula2>10</formula2>
    </dataValidation>
    <dataValidation type="decimal" allowBlank="1" sqref="BA4:BA103" xr:uid="{00000000-0002-0000-0200-00000C000000}">
      <formula1>0.1</formula1>
      <formula2>100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8"/>
  <sheetViews>
    <sheetView showGridLines="0" view="pageBreakPreview" zoomScaleNormal="100" zoomScaleSheetLayoutView="100" workbookViewId="0">
      <pane ySplit="1" topLeftCell="A15" activePane="bottomLeft" state="frozen"/>
      <selection pane="bottomLeft" activeCell="C23" sqref="C23"/>
    </sheetView>
  </sheetViews>
  <sheetFormatPr defaultColWidth="8.6328125" defaultRowHeight="45.75" customHeight="1" x14ac:dyDescent="0.3"/>
  <cols>
    <col min="1" max="1" width="2" style="23" bestFit="1" customWidth="1"/>
    <col min="2" max="2" width="14.6328125" style="23" bestFit="1" customWidth="1"/>
    <col min="3" max="3" width="121" style="23" bestFit="1" customWidth="1"/>
    <col min="4" max="5" width="8.6328125" style="23" customWidth="1"/>
    <col min="6" max="16384" width="8.6328125" style="23"/>
  </cols>
  <sheetData>
    <row r="1" spans="1:3" ht="19.5" customHeight="1" x14ac:dyDescent="0.35">
      <c r="A1" s="115" t="s">
        <v>146</v>
      </c>
      <c r="B1" s="112"/>
      <c r="C1" s="113"/>
    </row>
    <row r="2" spans="1:3" ht="45.75" customHeight="1" x14ac:dyDescent="0.3">
      <c r="A2" s="24" t="s">
        <v>147</v>
      </c>
      <c r="B2" s="25" t="s">
        <v>148</v>
      </c>
      <c r="C2" s="26" t="s">
        <v>149</v>
      </c>
    </row>
    <row r="3" spans="1:3" ht="45.75" customHeight="1" x14ac:dyDescent="0.3">
      <c r="A3" s="24" t="s">
        <v>150</v>
      </c>
      <c r="B3" s="25" t="s">
        <v>151</v>
      </c>
      <c r="C3" s="26" t="s">
        <v>152</v>
      </c>
    </row>
    <row r="4" spans="1:3" ht="45.75" customHeight="1" x14ac:dyDescent="0.3">
      <c r="A4" s="24" t="s">
        <v>153</v>
      </c>
      <c r="B4" s="25" t="s">
        <v>154</v>
      </c>
      <c r="C4" s="26" t="s">
        <v>155</v>
      </c>
    </row>
    <row r="5" spans="1:3" ht="45.75" customHeight="1" x14ac:dyDescent="0.3">
      <c r="A5" s="24" t="s">
        <v>156</v>
      </c>
      <c r="B5" s="25" t="s">
        <v>157</v>
      </c>
      <c r="C5" s="26" t="s">
        <v>158</v>
      </c>
    </row>
    <row r="6" spans="1:3" ht="45.75" customHeight="1" x14ac:dyDescent="0.3">
      <c r="A6" s="24" t="s">
        <v>159</v>
      </c>
      <c r="B6" s="25" t="s">
        <v>160</v>
      </c>
      <c r="C6" s="26" t="s">
        <v>161</v>
      </c>
    </row>
    <row r="7" spans="1:3" ht="45.75" customHeight="1" x14ac:dyDescent="0.3">
      <c r="A7" s="24" t="s">
        <v>162</v>
      </c>
      <c r="B7" s="25" t="s">
        <v>163</v>
      </c>
      <c r="C7" s="26" t="s">
        <v>164</v>
      </c>
    </row>
    <row r="8" spans="1:3" ht="14.25" customHeight="1" x14ac:dyDescent="0.3">
      <c r="A8" s="24" t="s">
        <v>165</v>
      </c>
      <c r="B8" s="25" t="s">
        <v>166</v>
      </c>
      <c r="C8" s="26" t="s">
        <v>167</v>
      </c>
    </row>
    <row r="9" spans="1:3" ht="45.75" customHeight="1" x14ac:dyDescent="0.3">
      <c r="A9" s="27" t="s">
        <v>168</v>
      </c>
      <c r="B9" s="28" t="s">
        <v>169</v>
      </c>
      <c r="C9" s="26" t="s">
        <v>170</v>
      </c>
    </row>
    <row r="10" spans="1:3" ht="15" customHeight="1" x14ac:dyDescent="0.3">
      <c r="A10" s="29"/>
    </row>
    <row r="11" spans="1:3" ht="14.25" customHeight="1" x14ac:dyDescent="0.3">
      <c r="A11" s="30"/>
    </row>
    <row r="12" spans="1:3" ht="14.25" customHeight="1" x14ac:dyDescent="0.3">
      <c r="A12" s="30"/>
    </row>
    <row r="13" spans="1:3" ht="14.25" customHeight="1" x14ac:dyDescent="0.3">
      <c r="A13" s="30"/>
    </row>
    <row r="14" spans="1:3" ht="14.25" customHeight="1" x14ac:dyDescent="0.3">
      <c r="A14" s="30"/>
    </row>
    <row r="15" spans="1:3" ht="14.25" customHeight="1" x14ac:dyDescent="0.3">
      <c r="A15" s="30"/>
    </row>
    <row r="16" spans="1:3" ht="14.25" customHeight="1" x14ac:dyDescent="0.3">
      <c r="A16" s="30"/>
    </row>
    <row r="17" spans="1:1" ht="14.25" customHeight="1" x14ac:dyDescent="0.3">
      <c r="A17" s="30"/>
    </row>
    <row r="18" spans="1:1" ht="14.25" customHeight="1" x14ac:dyDescent="0.3">
      <c r="A18" s="30"/>
    </row>
  </sheetData>
  <mergeCells count="1">
    <mergeCell ref="A1:C1"/>
  </mergeCells>
  <pageMargins left="0.75" right="0.75" top="1" bottom="1" header="0.511811023622047" footer="0.511811023622047"/>
  <pageSetup paperSize="9" scale="7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8"/>
  <sheetViews>
    <sheetView view="pageBreakPreview" zoomScale="60" zoomScaleNormal="85" workbookViewId="0">
      <pane ySplit="1" topLeftCell="A11" activePane="bottomLeft" state="frozen"/>
      <selection pane="bottomLeft" activeCell="B13" sqref="B13"/>
    </sheetView>
  </sheetViews>
  <sheetFormatPr defaultColWidth="8.6328125" defaultRowHeight="15" customHeight="1" x14ac:dyDescent="0.35"/>
  <cols>
    <col min="1" max="1" width="54" customWidth="1"/>
    <col min="2" max="2" width="55" customWidth="1"/>
    <col min="3" max="3" width="12" customWidth="1"/>
    <col min="4" max="4" width="55" customWidth="1"/>
  </cols>
  <sheetData>
    <row r="1" spans="1:4" ht="19.5" customHeight="1" x14ac:dyDescent="0.35">
      <c r="A1" s="116" t="s">
        <v>171</v>
      </c>
      <c r="B1" s="117"/>
      <c r="C1" s="117"/>
      <c r="D1" s="118"/>
    </row>
    <row r="2" spans="1:4" ht="14.25" customHeight="1" x14ac:dyDescent="0.35">
      <c r="A2" s="31"/>
      <c r="B2" s="32"/>
      <c r="C2" s="32"/>
      <c r="D2" s="33"/>
    </row>
    <row r="3" spans="1:4" ht="15" customHeight="1" x14ac:dyDescent="0.35">
      <c r="A3" s="119" t="s">
        <v>172</v>
      </c>
      <c r="B3" s="112"/>
      <c r="C3" s="112"/>
      <c r="D3" s="113"/>
    </row>
    <row r="4" spans="1:4" ht="14.25" customHeight="1" x14ac:dyDescent="0.35">
      <c r="A4" s="31" t="s">
        <v>173</v>
      </c>
      <c r="B4" s="34">
        <v>45</v>
      </c>
      <c r="C4" s="32" t="s">
        <v>174</v>
      </c>
      <c r="D4" s="33"/>
    </row>
    <row r="5" spans="1:4" ht="14.25" customHeight="1" x14ac:dyDescent="0.35">
      <c r="A5" s="31" t="s">
        <v>175</v>
      </c>
      <c r="B5" s="34">
        <v>25</v>
      </c>
      <c r="C5" s="32" t="s">
        <v>176</v>
      </c>
      <c r="D5" s="33"/>
    </row>
    <row r="6" spans="1:4" ht="14.25" customHeight="1" x14ac:dyDescent="0.35">
      <c r="A6" s="31" t="s">
        <v>177</v>
      </c>
      <c r="B6" s="32" t="s">
        <v>178</v>
      </c>
      <c r="C6" s="32"/>
      <c r="D6" s="33"/>
    </row>
    <row r="7" spans="1:4" ht="14.25" customHeight="1" x14ac:dyDescent="0.35">
      <c r="A7" s="31" t="s">
        <v>179</v>
      </c>
      <c r="B7" s="32">
        <v>2</v>
      </c>
      <c r="C7" s="32" t="s">
        <v>180</v>
      </c>
      <c r="D7" s="33"/>
    </row>
    <row r="8" spans="1:4" ht="14.25" customHeight="1" x14ac:dyDescent="0.35">
      <c r="A8" s="31" t="s">
        <v>181</v>
      </c>
      <c r="B8" s="32">
        <v>415</v>
      </c>
      <c r="C8" s="32" t="s">
        <v>182</v>
      </c>
      <c r="D8" s="33"/>
    </row>
    <row r="9" spans="1:4" ht="14.25" customHeight="1" x14ac:dyDescent="0.35">
      <c r="A9" s="31" t="s">
        <v>183</v>
      </c>
      <c r="B9" s="32">
        <v>0.53</v>
      </c>
      <c r="C9" s="32"/>
      <c r="D9" s="33"/>
    </row>
    <row r="10" spans="1:4" ht="14.25" customHeight="1" x14ac:dyDescent="0.35">
      <c r="A10" s="31" t="s">
        <v>184</v>
      </c>
      <c r="B10" s="32">
        <v>2.5</v>
      </c>
      <c r="C10" s="32" t="s">
        <v>185</v>
      </c>
      <c r="D10" s="33"/>
    </row>
    <row r="11" spans="1:4" ht="14.25" customHeight="1" x14ac:dyDescent="0.35">
      <c r="A11" s="31" t="s">
        <v>186</v>
      </c>
      <c r="B11" s="32">
        <v>10</v>
      </c>
      <c r="C11" s="32" t="s">
        <v>185</v>
      </c>
      <c r="D11" s="33"/>
    </row>
    <row r="12" spans="1:4" ht="14.25" customHeight="1" x14ac:dyDescent="0.35">
      <c r="A12" s="31" t="s">
        <v>187</v>
      </c>
      <c r="B12" s="32">
        <v>0.3</v>
      </c>
      <c r="C12" s="32"/>
      <c r="D12" s="33"/>
    </row>
    <row r="13" spans="1:4" ht="14.25" customHeight="1" x14ac:dyDescent="0.35">
      <c r="A13" s="31" t="s">
        <v>188</v>
      </c>
      <c r="B13" s="32">
        <v>0.95</v>
      </c>
      <c r="C13" s="32"/>
      <c r="D13" s="33"/>
    </row>
    <row r="14" spans="1:4" ht="14.25" customHeight="1" x14ac:dyDescent="0.35">
      <c r="A14" s="31" t="s">
        <v>189</v>
      </c>
      <c r="B14" s="32">
        <v>0.85</v>
      </c>
      <c r="C14" s="32"/>
      <c r="D14" s="33"/>
    </row>
    <row r="15" spans="1:4" ht="14.25" customHeight="1" x14ac:dyDescent="0.35">
      <c r="A15" s="31" t="s">
        <v>190</v>
      </c>
      <c r="B15" s="32">
        <v>0.53</v>
      </c>
      <c r="C15" s="32"/>
      <c r="D15" s="33"/>
    </row>
    <row r="16" spans="1:4" ht="14.25" customHeight="1" x14ac:dyDescent="0.35">
      <c r="A16" s="31" t="s">
        <v>191</v>
      </c>
      <c r="B16" s="32">
        <v>0.93</v>
      </c>
      <c r="C16" s="32"/>
      <c r="D16" s="33"/>
    </row>
    <row r="17" spans="1:4" ht="14.25" customHeight="1" x14ac:dyDescent="0.35">
      <c r="A17" s="31" t="s">
        <v>192</v>
      </c>
      <c r="B17" s="32">
        <v>0.41</v>
      </c>
      <c r="C17" s="32" t="s">
        <v>193</v>
      </c>
      <c r="D17" s="33"/>
    </row>
    <row r="18" spans="1:4" ht="14.25" customHeight="1" x14ac:dyDescent="0.35">
      <c r="A18" s="31" t="s">
        <v>194</v>
      </c>
      <c r="B18" s="32">
        <v>7.2400000000000006E-2</v>
      </c>
      <c r="C18" s="32" t="s">
        <v>193</v>
      </c>
      <c r="D18" s="33"/>
    </row>
    <row r="19" spans="1:4" ht="14.25" customHeight="1" x14ac:dyDescent="0.35">
      <c r="A19" s="31" t="s">
        <v>195</v>
      </c>
      <c r="B19" s="34">
        <v>94</v>
      </c>
      <c r="C19" s="32" t="s">
        <v>196</v>
      </c>
      <c r="D19" s="33" t="s">
        <v>197</v>
      </c>
    </row>
    <row r="20" spans="1:4" ht="14.25" customHeight="1" x14ac:dyDescent="0.35">
      <c r="A20" s="31" t="s">
        <v>198</v>
      </c>
      <c r="B20" s="32">
        <v>0.1</v>
      </c>
      <c r="C20" s="32" t="s">
        <v>199</v>
      </c>
      <c r="D20" s="33"/>
    </row>
    <row r="21" spans="1:4" ht="14.25" customHeight="1" x14ac:dyDescent="0.35">
      <c r="A21" s="31" t="s">
        <v>200</v>
      </c>
      <c r="B21" s="34">
        <v>3</v>
      </c>
      <c r="C21" s="32" t="s">
        <v>201</v>
      </c>
      <c r="D21" s="33"/>
    </row>
    <row r="22" spans="1:4" ht="14.25" customHeight="1" x14ac:dyDescent="0.35">
      <c r="A22" s="31"/>
      <c r="B22" s="32"/>
      <c r="C22" s="32"/>
      <c r="D22" s="33"/>
    </row>
    <row r="23" spans="1:4" ht="15" customHeight="1" x14ac:dyDescent="0.35">
      <c r="A23" s="119" t="s">
        <v>202</v>
      </c>
      <c r="B23" s="112"/>
      <c r="C23" s="112"/>
      <c r="D23" s="113"/>
    </row>
    <row r="24" spans="1:4" ht="14.25" customHeight="1" x14ac:dyDescent="0.35">
      <c r="A24" s="31"/>
      <c r="B24" s="32"/>
      <c r="C24" s="32"/>
      <c r="D24" s="33"/>
    </row>
    <row r="25" spans="1:4" ht="14.25" customHeight="1" x14ac:dyDescent="0.35">
      <c r="A25" s="31" t="s">
        <v>203</v>
      </c>
      <c r="B25" s="35">
        <f>(B4*1000)/(SQRT(3)*B8*B14*B16)</f>
        <v>79.195757187484389</v>
      </c>
      <c r="C25" s="32" t="s">
        <v>196</v>
      </c>
      <c r="D25" s="33" t="s">
        <v>204</v>
      </c>
    </row>
    <row r="26" spans="1:4" ht="14.25" customHeight="1" x14ac:dyDescent="0.35">
      <c r="A26" s="31" t="s">
        <v>205</v>
      </c>
      <c r="B26" s="35">
        <f>B7*B9*B19</f>
        <v>99.64</v>
      </c>
      <c r="C26" s="32" t="s">
        <v>196</v>
      </c>
      <c r="D26" s="33" t="s">
        <v>206</v>
      </c>
    </row>
    <row r="27" spans="1:4" ht="14.25" customHeight="1" x14ac:dyDescent="0.35">
      <c r="A27" s="31" t="s">
        <v>207</v>
      </c>
      <c r="B27" s="32" t="str">
        <f>IF(B26&gt;=B25,"PASS","FAIL")</f>
        <v>PASS</v>
      </c>
      <c r="C27" s="32"/>
      <c r="D27" s="33" t="s">
        <v>208</v>
      </c>
    </row>
    <row r="28" spans="1:4" ht="14.25" customHeight="1" x14ac:dyDescent="0.35">
      <c r="A28" s="31" t="s">
        <v>209</v>
      </c>
      <c r="B28" s="35">
        <f>B25*B21</f>
        <v>237.58727156245317</v>
      </c>
      <c r="C28" s="32" t="s">
        <v>196</v>
      </c>
      <c r="D28" s="33" t="s">
        <v>210</v>
      </c>
    </row>
    <row r="29" spans="1:4" ht="14.25" customHeight="1" x14ac:dyDescent="0.35">
      <c r="A29" s="31" t="s">
        <v>211</v>
      </c>
      <c r="B29" s="35">
        <f>((B17*B12)+(B18*B13))/B7</f>
        <v>9.5890000000000003E-2</v>
      </c>
      <c r="C29" s="32" t="s">
        <v>212</v>
      </c>
      <c r="D29" s="33" t="s">
        <v>213</v>
      </c>
    </row>
    <row r="30" spans="1:4" ht="14.25" customHeight="1" x14ac:dyDescent="0.35">
      <c r="A30" s="31" t="s">
        <v>214</v>
      </c>
      <c r="B30" s="35">
        <f>SQRT(3)*B20*B28*B29</f>
        <v>3.9460003200658424</v>
      </c>
      <c r="C30" s="32" t="s">
        <v>182</v>
      </c>
      <c r="D30" s="33" t="s">
        <v>215</v>
      </c>
    </row>
    <row r="31" spans="1:4" ht="14.25" customHeight="1" x14ac:dyDescent="0.35">
      <c r="A31" s="31" t="s">
        <v>216</v>
      </c>
      <c r="B31" s="35">
        <f>B30/B8*100</f>
        <v>0.95084345061827535</v>
      </c>
      <c r="C31" s="32" t="s">
        <v>185</v>
      </c>
      <c r="D31" s="33" t="s">
        <v>217</v>
      </c>
    </row>
    <row r="32" spans="1:4" ht="14.25" customHeight="1" x14ac:dyDescent="0.35">
      <c r="A32" s="31" t="s">
        <v>218</v>
      </c>
      <c r="B32" s="32" t="str">
        <f>IF(B31&lt;=B11,"PASS","FAIL")</f>
        <v>PASS</v>
      </c>
      <c r="C32" s="32"/>
      <c r="D32" s="33" t="s">
        <v>219</v>
      </c>
    </row>
    <row r="33" spans="1:4" ht="14.25" customHeight="1" x14ac:dyDescent="0.35">
      <c r="A33" s="31" t="s">
        <v>220</v>
      </c>
      <c r="B33" s="35">
        <f>((B17*B14)+(B18*B15))/B7</f>
        <v>0.193436</v>
      </c>
      <c r="C33" s="32" t="s">
        <v>212</v>
      </c>
      <c r="D33" s="33" t="s">
        <v>221</v>
      </c>
    </row>
    <row r="34" spans="1:4" ht="14.25" customHeight="1" x14ac:dyDescent="0.35">
      <c r="A34" s="31" t="s">
        <v>222</v>
      </c>
      <c r="B34" s="35">
        <f>SQRT(3)*B20*B25*B33</f>
        <v>2.6533824100957912</v>
      </c>
      <c r="C34" s="32" t="s">
        <v>182</v>
      </c>
      <c r="D34" s="33" t="s">
        <v>223</v>
      </c>
    </row>
    <row r="35" spans="1:4" ht="14.25" customHeight="1" x14ac:dyDescent="0.35">
      <c r="A35" s="31" t="s">
        <v>224</v>
      </c>
      <c r="B35" s="35">
        <f>B34/B8*100</f>
        <v>0.63936925544476897</v>
      </c>
      <c r="C35" s="32" t="s">
        <v>185</v>
      </c>
      <c r="D35" s="33" t="s">
        <v>225</v>
      </c>
    </row>
    <row r="36" spans="1:4" ht="14.25" customHeight="1" x14ac:dyDescent="0.35">
      <c r="A36" s="31" t="s">
        <v>226</v>
      </c>
      <c r="B36" s="32" t="str">
        <f>IF(B35&lt;=B10,"PASS","FAIL")</f>
        <v>PASS</v>
      </c>
      <c r="C36" s="32"/>
      <c r="D36" s="33" t="s">
        <v>227</v>
      </c>
    </row>
    <row r="37" spans="1:4" ht="14.25" customHeight="1" x14ac:dyDescent="0.35">
      <c r="A37" s="31" t="s">
        <v>228</v>
      </c>
      <c r="B37" s="35" t="str">
        <f>IF(AND(B27="PASS",B32="PASS",B36="PASS"),"SUITABLE","NOT SUITABLE")</f>
        <v>SUITABLE</v>
      </c>
      <c r="C37" s="32"/>
      <c r="D37" s="33" t="s">
        <v>229</v>
      </c>
    </row>
    <row r="38" spans="1:4" ht="14.25" customHeight="1" x14ac:dyDescent="0.35">
      <c r="A38" s="31"/>
      <c r="B38" s="32"/>
      <c r="C38" s="32"/>
      <c r="D38" s="33"/>
    </row>
    <row r="39" spans="1:4" ht="15" customHeight="1" x14ac:dyDescent="0.35">
      <c r="A39" s="36" t="s">
        <v>230</v>
      </c>
      <c r="B39" s="32"/>
      <c r="C39" s="32"/>
      <c r="D39" s="33"/>
    </row>
    <row r="40" spans="1:4" ht="15" customHeight="1" x14ac:dyDescent="0.35">
      <c r="A40" s="31" t="s">
        <v>231</v>
      </c>
      <c r="B40" s="32">
        <v>12</v>
      </c>
      <c r="C40" s="32" t="s">
        <v>232</v>
      </c>
      <c r="D40" s="33"/>
    </row>
    <row r="41" spans="1:4" ht="15" customHeight="1" x14ac:dyDescent="0.35">
      <c r="A41" s="31" t="s">
        <v>233</v>
      </c>
      <c r="B41" s="32">
        <v>12000</v>
      </c>
      <c r="C41" s="32" t="s">
        <v>196</v>
      </c>
      <c r="D41" s="33"/>
    </row>
    <row r="42" spans="1:4" ht="15" customHeight="1" x14ac:dyDescent="0.35">
      <c r="A42" s="31" t="s">
        <v>234</v>
      </c>
      <c r="B42" s="32">
        <v>0.2</v>
      </c>
      <c r="C42" s="32" t="s">
        <v>235</v>
      </c>
      <c r="D42" s="33"/>
    </row>
    <row r="43" spans="1:4" ht="15" customHeight="1" x14ac:dyDescent="0.35">
      <c r="A43" s="31" t="s">
        <v>236</v>
      </c>
      <c r="B43" s="32">
        <v>94</v>
      </c>
      <c r="C43" s="32"/>
      <c r="D43" s="33"/>
    </row>
    <row r="44" spans="1:4" ht="15" customHeight="1" x14ac:dyDescent="0.35">
      <c r="A44" s="31" t="s">
        <v>237</v>
      </c>
      <c r="B44" s="35">
        <f>B5*B7</f>
        <v>50</v>
      </c>
      <c r="C44" s="32" t="s">
        <v>176</v>
      </c>
      <c r="D44" s="33" t="s">
        <v>238</v>
      </c>
    </row>
    <row r="45" spans="1:4" ht="15" customHeight="1" x14ac:dyDescent="0.35">
      <c r="A45" s="31" t="s">
        <v>239</v>
      </c>
      <c r="B45" s="35">
        <f>(B43*B44)/SQRT(B42)/1000</f>
        <v>10.509519494249012</v>
      </c>
      <c r="C45" s="32" t="s">
        <v>232</v>
      </c>
      <c r="D45" s="33" t="s">
        <v>240</v>
      </c>
    </row>
    <row r="46" spans="1:4" ht="15" customHeight="1" thickBot="1" x14ac:dyDescent="0.4">
      <c r="A46" s="37" t="s">
        <v>241</v>
      </c>
      <c r="B46" s="38" t="str">
        <f>IF(B45&gt;=B40,"PASS","FAIL")</f>
        <v>FAIL</v>
      </c>
      <c r="C46" s="39"/>
      <c r="D46" s="40"/>
    </row>
    <row r="47" spans="1:4" ht="15" customHeight="1" x14ac:dyDescent="0.35">
      <c r="A47" s="41"/>
      <c r="B47" s="41"/>
      <c r="C47" s="41"/>
      <c r="D47" s="41"/>
    </row>
    <row r="48" spans="1:4" ht="15" customHeight="1" x14ac:dyDescent="0.35">
      <c r="A48" s="8"/>
      <c r="B48" s="8"/>
      <c r="C48" s="8"/>
      <c r="D48" s="8"/>
    </row>
  </sheetData>
  <mergeCells count="3">
    <mergeCell ref="A1:D1"/>
    <mergeCell ref="A23:D23"/>
    <mergeCell ref="A3:D3"/>
  </mergeCells>
  <pageMargins left="0.75" right="0.75" top="1" bottom="1" header="0.511811023622047" footer="0.511811023622047"/>
  <pageSetup paperSize="9" scale="4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1"/>
  <sheetViews>
    <sheetView view="pageBreakPreview" zoomScale="40" zoomScaleNormal="25" zoomScaleSheetLayoutView="40" workbookViewId="0">
      <pane ySplit="1" topLeftCell="A2" activePane="bottomLeft" state="frozen"/>
      <selection pane="bottomLeft" activeCell="Q124" sqref="Q124"/>
    </sheetView>
  </sheetViews>
  <sheetFormatPr defaultColWidth="8.6328125" defaultRowHeight="14.25" customHeight="1" x14ac:dyDescent="0.45"/>
  <cols>
    <col min="1" max="1" width="8" style="50" customWidth="1"/>
    <col min="2" max="2" width="17" style="50" bestFit="1" customWidth="1"/>
    <col min="3" max="4" width="16.08984375" style="50" bestFit="1" customWidth="1"/>
    <col min="5" max="5" width="16.81640625" style="50" bestFit="1" customWidth="1"/>
    <col min="6" max="6" width="48.81640625" style="50" bestFit="1" customWidth="1"/>
    <col min="7" max="7" width="14.6328125" style="50" bestFit="1" customWidth="1"/>
    <col min="8" max="8" width="33.453125" style="50" bestFit="1" customWidth="1"/>
    <col min="9" max="9" width="26.1796875" style="50" bestFit="1" customWidth="1"/>
    <col min="10" max="10" width="43.08984375" style="50" bestFit="1" customWidth="1"/>
    <col min="11" max="11" width="82.54296875" style="50" bestFit="1" customWidth="1"/>
    <col min="12" max="13" width="14.90625" style="50" bestFit="1" customWidth="1"/>
    <col min="14" max="14" width="41.81640625" style="50" bestFit="1" customWidth="1"/>
    <col min="15" max="15" width="127.90625" style="50" bestFit="1" customWidth="1"/>
    <col min="16" max="16384" width="8.6328125" style="50"/>
  </cols>
  <sheetData>
    <row r="1" spans="1:15" s="45" customFormat="1" ht="49.75" customHeight="1" x14ac:dyDescent="0.55000000000000004">
      <c r="A1" s="42" t="s">
        <v>242</v>
      </c>
      <c r="B1" s="43" t="s">
        <v>243</v>
      </c>
      <c r="C1" s="43" t="s">
        <v>122</v>
      </c>
      <c r="D1" s="43" t="s">
        <v>123</v>
      </c>
      <c r="E1" s="43" t="s">
        <v>244</v>
      </c>
      <c r="F1" s="43" t="s">
        <v>245</v>
      </c>
      <c r="G1" s="43" t="s">
        <v>246</v>
      </c>
      <c r="H1" s="43" t="s">
        <v>247</v>
      </c>
      <c r="I1" s="43" t="s">
        <v>248</v>
      </c>
      <c r="J1" s="43" t="s">
        <v>249</v>
      </c>
      <c r="K1" s="43" t="s">
        <v>250</v>
      </c>
      <c r="L1" s="43" t="s">
        <v>251</v>
      </c>
      <c r="M1" s="43" t="s">
        <v>252</v>
      </c>
      <c r="N1" s="43" t="s">
        <v>253</v>
      </c>
      <c r="O1" s="44" t="s">
        <v>51</v>
      </c>
    </row>
    <row r="2" spans="1:15" ht="18" customHeight="1" x14ac:dyDescent="0.45">
      <c r="A2" s="46" t="s">
        <v>178</v>
      </c>
      <c r="B2" s="47" t="s">
        <v>254</v>
      </c>
      <c r="C2" s="47" t="s">
        <v>255</v>
      </c>
      <c r="D2" s="47" t="s">
        <v>256</v>
      </c>
      <c r="E2" s="47">
        <v>25</v>
      </c>
      <c r="F2" s="47" t="s">
        <v>257</v>
      </c>
      <c r="G2" s="47">
        <v>17.5</v>
      </c>
      <c r="H2" s="47">
        <v>94</v>
      </c>
      <c r="I2" s="47">
        <v>96</v>
      </c>
      <c r="J2" s="47">
        <v>1.54</v>
      </c>
      <c r="K2" s="47" t="s">
        <v>258</v>
      </c>
      <c r="L2" s="48">
        <v>1.54</v>
      </c>
      <c r="M2" s="48">
        <v>0.08</v>
      </c>
      <c r="N2" s="47" t="str">
        <f t="shared" ref="N2:N33" si="0">E2&amp;"|"&amp;A2&amp;" / "&amp;B2&amp;" / "&amp;C2&amp;" / "&amp;D2</f>
        <v>25|3C / Al / XLPE / Armoured</v>
      </c>
      <c r="O2" s="49" t="s">
        <v>259</v>
      </c>
    </row>
    <row r="3" spans="1:15" ht="18" customHeight="1" x14ac:dyDescent="0.45">
      <c r="A3" s="46" t="s">
        <v>178</v>
      </c>
      <c r="B3" s="47" t="s">
        <v>254</v>
      </c>
      <c r="C3" s="47" t="s">
        <v>255</v>
      </c>
      <c r="D3" s="47" t="s">
        <v>260</v>
      </c>
      <c r="E3" s="47">
        <v>25</v>
      </c>
      <c r="F3" s="47" t="s">
        <v>261</v>
      </c>
      <c r="G3" s="47">
        <v>16.399999999999999</v>
      </c>
      <c r="H3" s="47">
        <v>94</v>
      </c>
      <c r="I3" s="47">
        <v>96</v>
      </c>
      <c r="J3" s="47">
        <v>1.54</v>
      </c>
      <c r="K3" s="47" t="s">
        <v>258</v>
      </c>
      <c r="L3" s="51"/>
      <c r="M3" s="51"/>
      <c r="N3" s="47" t="str">
        <f t="shared" si="0"/>
        <v>25|3C / Al / XLPE / Unarmoured</v>
      </c>
      <c r="O3" s="49"/>
    </row>
    <row r="4" spans="1:15" ht="18" customHeight="1" x14ac:dyDescent="0.45">
      <c r="A4" s="46" t="s">
        <v>178</v>
      </c>
      <c r="B4" s="47" t="s">
        <v>254</v>
      </c>
      <c r="C4" s="47" t="s">
        <v>255</v>
      </c>
      <c r="D4" s="47" t="s">
        <v>256</v>
      </c>
      <c r="E4" s="47">
        <v>35</v>
      </c>
      <c r="F4" s="47" t="s">
        <v>262</v>
      </c>
      <c r="G4" s="47">
        <v>19</v>
      </c>
      <c r="H4" s="47">
        <v>113</v>
      </c>
      <c r="I4" s="47">
        <v>117</v>
      </c>
      <c r="J4" s="47">
        <v>1.1100000000000001</v>
      </c>
      <c r="K4" s="47" t="s">
        <v>258</v>
      </c>
      <c r="L4" s="51"/>
      <c r="M4" s="51"/>
      <c r="N4" s="47" t="str">
        <f t="shared" si="0"/>
        <v>35|3C / Al / XLPE / Armoured</v>
      </c>
      <c r="O4" s="49"/>
    </row>
    <row r="5" spans="1:15" ht="18" customHeight="1" x14ac:dyDescent="0.45">
      <c r="A5" s="46" t="s">
        <v>178</v>
      </c>
      <c r="B5" s="47" t="s">
        <v>254</v>
      </c>
      <c r="C5" s="47" t="s">
        <v>255</v>
      </c>
      <c r="D5" s="47" t="s">
        <v>260</v>
      </c>
      <c r="E5" s="47">
        <v>35</v>
      </c>
      <c r="F5" s="47" t="s">
        <v>263</v>
      </c>
      <c r="G5" s="47">
        <v>17.899999999999999</v>
      </c>
      <c r="H5" s="47">
        <v>113</v>
      </c>
      <c r="I5" s="47">
        <v>117</v>
      </c>
      <c r="J5" s="47">
        <v>1.1100000000000001</v>
      </c>
      <c r="K5" s="47" t="s">
        <v>258</v>
      </c>
      <c r="L5" s="51"/>
      <c r="M5" s="51"/>
      <c r="N5" s="47" t="str">
        <f t="shared" si="0"/>
        <v>35|3C / Al / XLPE / Unarmoured</v>
      </c>
      <c r="O5" s="49"/>
    </row>
    <row r="6" spans="1:15" ht="18" customHeight="1" x14ac:dyDescent="0.45">
      <c r="A6" s="46" t="s">
        <v>178</v>
      </c>
      <c r="B6" s="47" t="s">
        <v>254</v>
      </c>
      <c r="C6" s="47" t="s">
        <v>255</v>
      </c>
      <c r="D6" s="47" t="s">
        <v>256</v>
      </c>
      <c r="E6" s="47">
        <v>50</v>
      </c>
      <c r="F6" s="47" t="s">
        <v>264</v>
      </c>
      <c r="G6" s="47">
        <v>22</v>
      </c>
      <c r="H6" s="47">
        <v>133</v>
      </c>
      <c r="I6" s="47">
        <v>142</v>
      </c>
      <c r="J6" s="47">
        <v>0.82</v>
      </c>
      <c r="K6" s="47" t="s">
        <v>258</v>
      </c>
      <c r="L6" s="51"/>
      <c r="M6" s="51"/>
      <c r="N6" s="47" t="str">
        <f t="shared" si="0"/>
        <v>50|3C / Al / XLPE / Armoured</v>
      </c>
      <c r="O6" s="49"/>
    </row>
    <row r="7" spans="1:15" ht="18" customHeight="1" x14ac:dyDescent="0.45">
      <c r="A7" s="46" t="s">
        <v>178</v>
      </c>
      <c r="B7" s="47" t="s">
        <v>254</v>
      </c>
      <c r="C7" s="47" t="s">
        <v>255</v>
      </c>
      <c r="D7" s="47" t="s">
        <v>260</v>
      </c>
      <c r="E7" s="47">
        <v>50</v>
      </c>
      <c r="F7" s="47" t="s">
        <v>265</v>
      </c>
      <c r="G7" s="47">
        <v>20.7</v>
      </c>
      <c r="H7" s="47">
        <v>133</v>
      </c>
      <c r="I7" s="47">
        <v>142</v>
      </c>
      <c r="J7" s="47">
        <v>0.82</v>
      </c>
      <c r="K7" s="47" t="s">
        <v>258</v>
      </c>
      <c r="L7" s="51"/>
      <c r="M7" s="51"/>
      <c r="N7" s="47" t="str">
        <f t="shared" si="0"/>
        <v>50|3C / Al / XLPE / Unarmoured</v>
      </c>
      <c r="O7" s="49"/>
    </row>
    <row r="8" spans="1:15" ht="18" customHeight="1" x14ac:dyDescent="0.45">
      <c r="A8" s="46" t="s">
        <v>178</v>
      </c>
      <c r="B8" s="47" t="s">
        <v>254</v>
      </c>
      <c r="C8" s="47" t="s">
        <v>255</v>
      </c>
      <c r="D8" s="47" t="s">
        <v>256</v>
      </c>
      <c r="E8" s="47">
        <v>70</v>
      </c>
      <c r="F8" s="47" t="s">
        <v>266</v>
      </c>
      <c r="G8" s="47">
        <v>25</v>
      </c>
      <c r="H8" s="47">
        <v>164</v>
      </c>
      <c r="I8" s="47">
        <v>179</v>
      </c>
      <c r="J8" s="47">
        <v>0.56699999999999995</v>
      </c>
      <c r="K8" s="47" t="s">
        <v>258</v>
      </c>
      <c r="L8" s="51"/>
      <c r="M8" s="51"/>
      <c r="N8" s="47" t="str">
        <f t="shared" si="0"/>
        <v>70|3C / Al / XLPE / Armoured</v>
      </c>
      <c r="O8" s="49"/>
    </row>
    <row r="9" spans="1:15" ht="18" customHeight="1" x14ac:dyDescent="0.45">
      <c r="A9" s="46" t="s">
        <v>178</v>
      </c>
      <c r="B9" s="47" t="s">
        <v>254</v>
      </c>
      <c r="C9" s="47" t="s">
        <v>255</v>
      </c>
      <c r="D9" s="47" t="s">
        <v>260</v>
      </c>
      <c r="E9" s="47">
        <v>70</v>
      </c>
      <c r="F9" s="47" t="s">
        <v>267</v>
      </c>
      <c r="G9" s="47">
        <v>23.5</v>
      </c>
      <c r="H9" s="47">
        <v>164</v>
      </c>
      <c r="I9" s="47">
        <v>179</v>
      </c>
      <c r="J9" s="47">
        <v>0.56699999999999995</v>
      </c>
      <c r="K9" s="47" t="s">
        <v>258</v>
      </c>
      <c r="L9" s="51"/>
      <c r="M9" s="51"/>
      <c r="N9" s="47" t="str">
        <f t="shared" si="0"/>
        <v>70|3C / Al / XLPE / Unarmoured</v>
      </c>
      <c r="O9" s="49"/>
    </row>
    <row r="10" spans="1:15" ht="18" customHeight="1" x14ac:dyDescent="0.45">
      <c r="A10" s="46" t="s">
        <v>178</v>
      </c>
      <c r="B10" s="47" t="s">
        <v>254</v>
      </c>
      <c r="C10" s="47" t="s">
        <v>255</v>
      </c>
      <c r="D10" s="47" t="s">
        <v>256</v>
      </c>
      <c r="E10" s="47">
        <v>95</v>
      </c>
      <c r="F10" s="47" t="s">
        <v>268</v>
      </c>
      <c r="G10" s="47">
        <v>28</v>
      </c>
      <c r="H10" s="47">
        <v>196</v>
      </c>
      <c r="I10" s="47">
        <v>221</v>
      </c>
      <c r="J10" s="47">
        <v>0.41</v>
      </c>
      <c r="K10" s="47" t="s">
        <v>258</v>
      </c>
      <c r="L10" s="51"/>
      <c r="M10" s="51"/>
      <c r="N10" s="47" t="str">
        <f t="shared" si="0"/>
        <v>95|3C / Al / XLPE / Armoured</v>
      </c>
      <c r="O10" s="49"/>
    </row>
    <row r="11" spans="1:15" ht="18" customHeight="1" x14ac:dyDescent="0.45">
      <c r="A11" s="46" t="s">
        <v>178</v>
      </c>
      <c r="B11" s="47" t="s">
        <v>254</v>
      </c>
      <c r="C11" s="47" t="s">
        <v>255</v>
      </c>
      <c r="D11" s="47" t="s">
        <v>260</v>
      </c>
      <c r="E11" s="47">
        <v>95</v>
      </c>
      <c r="F11" s="47" t="s">
        <v>269</v>
      </c>
      <c r="G11" s="47">
        <v>26.3</v>
      </c>
      <c r="H11" s="47">
        <v>196</v>
      </c>
      <c r="I11" s="47">
        <v>221</v>
      </c>
      <c r="J11" s="47">
        <v>0.41</v>
      </c>
      <c r="K11" s="47" t="s">
        <v>258</v>
      </c>
      <c r="L11" s="51"/>
      <c r="M11" s="51"/>
      <c r="N11" s="47" t="str">
        <f t="shared" si="0"/>
        <v>95|3C / Al / XLPE / Unarmoured</v>
      </c>
      <c r="O11" s="49"/>
    </row>
    <row r="12" spans="1:15" ht="18" customHeight="1" x14ac:dyDescent="0.45">
      <c r="A12" s="46" t="s">
        <v>178</v>
      </c>
      <c r="B12" s="47" t="s">
        <v>254</v>
      </c>
      <c r="C12" s="47" t="s">
        <v>255</v>
      </c>
      <c r="D12" s="47" t="s">
        <v>256</v>
      </c>
      <c r="E12" s="47">
        <v>120</v>
      </c>
      <c r="F12" s="47" t="s">
        <v>270</v>
      </c>
      <c r="G12" s="47">
        <v>31</v>
      </c>
      <c r="H12" s="47">
        <v>223</v>
      </c>
      <c r="I12" s="47">
        <v>257</v>
      </c>
      <c r="J12" s="47">
        <v>0.32500000000000001</v>
      </c>
      <c r="K12" s="47" t="s">
        <v>258</v>
      </c>
      <c r="L12" s="51"/>
      <c r="M12" s="51"/>
      <c r="N12" s="47" t="str">
        <f t="shared" si="0"/>
        <v>120|3C / Al / XLPE / Armoured</v>
      </c>
      <c r="O12" s="49"/>
    </row>
    <row r="13" spans="1:15" ht="18" customHeight="1" x14ac:dyDescent="0.45">
      <c r="A13" s="46" t="s">
        <v>178</v>
      </c>
      <c r="B13" s="47" t="s">
        <v>254</v>
      </c>
      <c r="C13" s="47" t="s">
        <v>255</v>
      </c>
      <c r="D13" s="47" t="s">
        <v>260</v>
      </c>
      <c r="E13" s="47">
        <v>120</v>
      </c>
      <c r="F13" s="47" t="s">
        <v>271</v>
      </c>
      <c r="G13" s="47">
        <v>29.1</v>
      </c>
      <c r="H13" s="47">
        <v>223</v>
      </c>
      <c r="I13" s="47">
        <v>257</v>
      </c>
      <c r="J13" s="47">
        <v>0.32500000000000001</v>
      </c>
      <c r="K13" s="47" t="s">
        <v>258</v>
      </c>
      <c r="L13" s="51"/>
      <c r="M13" s="51"/>
      <c r="N13" s="47" t="str">
        <f t="shared" si="0"/>
        <v>120|3C / Al / XLPE / Unarmoured</v>
      </c>
      <c r="O13" s="49"/>
    </row>
    <row r="14" spans="1:15" ht="18" customHeight="1" x14ac:dyDescent="0.45">
      <c r="A14" s="46" t="s">
        <v>178</v>
      </c>
      <c r="B14" s="47" t="s">
        <v>254</v>
      </c>
      <c r="C14" s="47" t="s">
        <v>255</v>
      </c>
      <c r="D14" s="47" t="s">
        <v>256</v>
      </c>
      <c r="E14" s="47">
        <v>150</v>
      </c>
      <c r="F14" s="47" t="s">
        <v>272</v>
      </c>
      <c r="G14" s="47">
        <v>34</v>
      </c>
      <c r="H14" s="47">
        <v>249</v>
      </c>
      <c r="I14" s="47">
        <v>292</v>
      </c>
      <c r="J14" s="47">
        <v>0.26500000000000001</v>
      </c>
      <c r="K14" s="47" t="s">
        <v>258</v>
      </c>
      <c r="L14" s="51"/>
      <c r="M14" s="51"/>
      <c r="N14" s="47" t="str">
        <f t="shared" si="0"/>
        <v>150|3C / Al / XLPE / Armoured</v>
      </c>
      <c r="O14" s="49"/>
    </row>
    <row r="15" spans="1:15" ht="18" customHeight="1" x14ac:dyDescent="0.45">
      <c r="A15" s="46" t="s">
        <v>178</v>
      </c>
      <c r="B15" s="47" t="s">
        <v>254</v>
      </c>
      <c r="C15" s="47" t="s">
        <v>255</v>
      </c>
      <c r="D15" s="47" t="s">
        <v>260</v>
      </c>
      <c r="E15" s="47">
        <v>150</v>
      </c>
      <c r="F15" s="47" t="s">
        <v>273</v>
      </c>
      <c r="G15" s="47">
        <v>32</v>
      </c>
      <c r="H15" s="47">
        <v>249</v>
      </c>
      <c r="I15" s="47">
        <v>292</v>
      </c>
      <c r="J15" s="47">
        <v>0.26500000000000001</v>
      </c>
      <c r="K15" s="47" t="s">
        <v>258</v>
      </c>
      <c r="L15" s="51"/>
      <c r="M15" s="51"/>
      <c r="N15" s="47" t="str">
        <f t="shared" si="0"/>
        <v>150|3C / Al / XLPE / Unarmoured</v>
      </c>
      <c r="O15" s="49"/>
    </row>
    <row r="16" spans="1:15" ht="18" customHeight="1" x14ac:dyDescent="0.45">
      <c r="A16" s="46" t="s">
        <v>178</v>
      </c>
      <c r="B16" s="47" t="s">
        <v>254</v>
      </c>
      <c r="C16" s="47" t="s">
        <v>255</v>
      </c>
      <c r="D16" s="47" t="s">
        <v>256</v>
      </c>
      <c r="E16" s="47">
        <v>185</v>
      </c>
      <c r="F16" s="47" t="s">
        <v>274</v>
      </c>
      <c r="G16" s="47">
        <v>38</v>
      </c>
      <c r="H16" s="47">
        <v>282</v>
      </c>
      <c r="I16" s="47">
        <v>337</v>
      </c>
      <c r="J16" s="47">
        <v>0.21099999999999999</v>
      </c>
      <c r="K16" s="47" t="s">
        <v>258</v>
      </c>
      <c r="L16" s="51"/>
      <c r="M16" s="51"/>
      <c r="N16" s="47" t="str">
        <f t="shared" si="0"/>
        <v>185|3C / Al / XLPE / Armoured</v>
      </c>
      <c r="O16" s="49"/>
    </row>
    <row r="17" spans="1:15" ht="18" customHeight="1" x14ac:dyDescent="0.45">
      <c r="A17" s="46" t="s">
        <v>178</v>
      </c>
      <c r="B17" s="47" t="s">
        <v>254</v>
      </c>
      <c r="C17" s="47" t="s">
        <v>255</v>
      </c>
      <c r="D17" s="47" t="s">
        <v>260</v>
      </c>
      <c r="E17" s="47">
        <v>185</v>
      </c>
      <c r="F17" s="47" t="s">
        <v>275</v>
      </c>
      <c r="G17" s="47">
        <v>35.700000000000003</v>
      </c>
      <c r="H17" s="47">
        <v>282</v>
      </c>
      <c r="I17" s="47">
        <v>337</v>
      </c>
      <c r="J17" s="47">
        <v>0.21099999999999999</v>
      </c>
      <c r="K17" s="47" t="s">
        <v>258</v>
      </c>
      <c r="L17" s="51"/>
      <c r="M17" s="51"/>
      <c r="N17" s="47" t="str">
        <f t="shared" si="0"/>
        <v>185|3C / Al / XLPE / Unarmoured</v>
      </c>
      <c r="O17" s="49"/>
    </row>
    <row r="18" spans="1:15" ht="18" customHeight="1" x14ac:dyDescent="0.45">
      <c r="A18" s="46" t="s">
        <v>178</v>
      </c>
      <c r="B18" s="47" t="s">
        <v>254</v>
      </c>
      <c r="C18" s="47" t="s">
        <v>255</v>
      </c>
      <c r="D18" s="47" t="s">
        <v>256</v>
      </c>
      <c r="E18" s="47">
        <v>240</v>
      </c>
      <c r="F18" s="47" t="s">
        <v>276</v>
      </c>
      <c r="G18" s="47">
        <v>43</v>
      </c>
      <c r="H18" s="47">
        <v>326</v>
      </c>
      <c r="I18" s="47">
        <v>399</v>
      </c>
      <c r="J18" s="47">
        <v>0.16200000000000001</v>
      </c>
      <c r="K18" s="47" t="s">
        <v>258</v>
      </c>
      <c r="L18" s="51"/>
      <c r="M18" s="51"/>
      <c r="N18" s="47" t="str">
        <f t="shared" si="0"/>
        <v>240|3C / Al / XLPE / Armoured</v>
      </c>
      <c r="O18" s="49"/>
    </row>
    <row r="19" spans="1:15" ht="18" customHeight="1" x14ac:dyDescent="0.45">
      <c r="A19" s="46" t="s">
        <v>178</v>
      </c>
      <c r="B19" s="47" t="s">
        <v>254</v>
      </c>
      <c r="C19" s="47" t="s">
        <v>255</v>
      </c>
      <c r="D19" s="47" t="s">
        <v>260</v>
      </c>
      <c r="E19" s="47">
        <v>240</v>
      </c>
      <c r="F19" s="47" t="s">
        <v>277</v>
      </c>
      <c r="G19" s="47">
        <v>40.4</v>
      </c>
      <c r="H19" s="47">
        <v>326</v>
      </c>
      <c r="I19" s="47">
        <v>399</v>
      </c>
      <c r="J19" s="47">
        <v>0.16200000000000001</v>
      </c>
      <c r="K19" s="47" t="s">
        <v>258</v>
      </c>
      <c r="L19" s="51"/>
      <c r="M19" s="51"/>
      <c r="N19" s="47" t="str">
        <f t="shared" si="0"/>
        <v>240|3C / Al / XLPE / Unarmoured</v>
      </c>
      <c r="O19" s="49"/>
    </row>
    <row r="20" spans="1:15" ht="18" customHeight="1" x14ac:dyDescent="0.45">
      <c r="A20" s="46" t="s">
        <v>178</v>
      </c>
      <c r="B20" s="47" t="s">
        <v>254</v>
      </c>
      <c r="C20" s="47" t="s">
        <v>255</v>
      </c>
      <c r="D20" s="47" t="s">
        <v>256</v>
      </c>
      <c r="E20" s="47">
        <v>300</v>
      </c>
      <c r="F20" s="47" t="s">
        <v>278</v>
      </c>
      <c r="G20" s="47">
        <v>48</v>
      </c>
      <c r="H20" s="47">
        <v>367</v>
      </c>
      <c r="I20" s="47">
        <v>455</v>
      </c>
      <c r="J20" s="47">
        <v>0.13</v>
      </c>
      <c r="K20" s="47" t="s">
        <v>258</v>
      </c>
      <c r="L20" s="51"/>
      <c r="M20" s="51"/>
      <c r="N20" s="47" t="str">
        <f t="shared" si="0"/>
        <v>300|3C / Al / XLPE / Armoured</v>
      </c>
      <c r="O20" s="49"/>
    </row>
    <row r="21" spans="1:15" ht="18" customHeight="1" x14ac:dyDescent="0.45">
      <c r="A21" s="46" t="s">
        <v>178</v>
      </c>
      <c r="B21" s="47" t="s">
        <v>254</v>
      </c>
      <c r="C21" s="47" t="s">
        <v>255</v>
      </c>
      <c r="D21" s="47" t="s">
        <v>260</v>
      </c>
      <c r="E21" s="47">
        <v>300</v>
      </c>
      <c r="F21" s="47" t="s">
        <v>279</v>
      </c>
      <c r="G21" s="47">
        <v>45.1</v>
      </c>
      <c r="H21" s="47">
        <v>367</v>
      </c>
      <c r="I21" s="47">
        <v>455</v>
      </c>
      <c r="J21" s="47">
        <v>0.13</v>
      </c>
      <c r="K21" s="47" t="s">
        <v>258</v>
      </c>
      <c r="L21" s="51"/>
      <c r="M21" s="51"/>
      <c r="N21" s="47" t="str">
        <f t="shared" si="0"/>
        <v>300|3C / Al / XLPE / Unarmoured</v>
      </c>
      <c r="O21" s="49"/>
    </row>
    <row r="22" spans="1:15" ht="18" customHeight="1" x14ac:dyDescent="0.45">
      <c r="A22" s="46" t="s">
        <v>178</v>
      </c>
      <c r="B22" s="47" t="s">
        <v>254</v>
      </c>
      <c r="C22" s="47" t="s">
        <v>255</v>
      </c>
      <c r="D22" s="47" t="s">
        <v>256</v>
      </c>
      <c r="E22" s="47">
        <v>400</v>
      </c>
      <c r="F22" s="47" t="s">
        <v>280</v>
      </c>
      <c r="G22" s="47">
        <v>54</v>
      </c>
      <c r="H22" s="47">
        <v>418</v>
      </c>
      <c r="I22" s="47">
        <v>530</v>
      </c>
      <c r="J22" s="47">
        <v>0.1023</v>
      </c>
      <c r="K22" s="47" t="s">
        <v>258</v>
      </c>
      <c r="L22" s="51"/>
      <c r="M22" s="51"/>
      <c r="N22" s="47" t="str">
        <f t="shared" si="0"/>
        <v>400|3C / Al / XLPE / Armoured</v>
      </c>
      <c r="O22" s="49"/>
    </row>
    <row r="23" spans="1:15" ht="18" customHeight="1" x14ac:dyDescent="0.45">
      <c r="A23" s="46" t="s">
        <v>178</v>
      </c>
      <c r="B23" s="47" t="s">
        <v>254</v>
      </c>
      <c r="C23" s="47" t="s">
        <v>255</v>
      </c>
      <c r="D23" s="47" t="s">
        <v>260</v>
      </c>
      <c r="E23" s="47">
        <v>400</v>
      </c>
      <c r="F23" s="47" t="s">
        <v>281</v>
      </c>
      <c r="G23" s="47">
        <v>50.8</v>
      </c>
      <c r="H23" s="47">
        <v>418</v>
      </c>
      <c r="I23" s="47">
        <v>530</v>
      </c>
      <c r="J23" s="47">
        <v>0.1023</v>
      </c>
      <c r="K23" s="47" t="s">
        <v>258</v>
      </c>
      <c r="L23" s="51"/>
      <c r="M23" s="51"/>
      <c r="N23" s="47" t="str">
        <f t="shared" si="0"/>
        <v>400|3C / Al / XLPE / Unarmoured</v>
      </c>
      <c r="O23" s="49"/>
    </row>
    <row r="24" spans="1:15" ht="18" customHeight="1" x14ac:dyDescent="0.45">
      <c r="A24" s="46" t="s">
        <v>282</v>
      </c>
      <c r="B24" s="47" t="s">
        <v>254</v>
      </c>
      <c r="C24" s="47" t="s">
        <v>255</v>
      </c>
      <c r="D24" s="47" t="s">
        <v>256</v>
      </c>
      <c r="E24" s="47">
        <v>16</v>
      </c>
      <c r="F24" s="47" t="s">
        <v>283</v>
      </c>
      <c r="G24" s="47">
        <v>15.9</v>
      </c>
      <c r="H24" s="47">
        <v>73</v>
      </c>
      <c r="I24" s="47">
        <v>73</v>
      </c>
      <c r="J24" s="47">
        <v>4.24</v>
      </c>
      <c r="K24" s="47" t="s">
        <v>284</v>
      </c>
      <c r="L24" s="51"/>
      <c r="M24" s="51"/>
      <c r="N24" s="47" t="str">
        <f t="shared" si="0"/>
        <v>16|3.5C / Al / XLPE / Armoured</v>
      </c>
      <c r="O24" s="49"/>
    </row>
    <row r="25" spans="1:15" ht="18" customHeight="1" x14ac:dyDescent="0.45">
      <c r="A25" s="46" t="s">
        <v>282</v>
      </c>
      <c r="B25" s="47" t="s">
        <v>254</v>
      </c>
      <c r="C25" s="47" t="s">
        <v>255</v>
      </c>
      <c r="D25" s="47" t="s">
        <v>260</v>
      </c>
      <c r="E25" s="47">
        <v>16</v>
      </c>
      <c r="F25" s="47" t="s">
        <v>285</v>
      </c>
      <c r="G25" s="47">
        <v>14.9</v>
      </c>
      <c r="H25" s="47">
        <v>73</v>
      </c>
      <c r="I25" s="47">
        <v>73</v>
      </c>
      <c r="J25" s="47">
        <v>4.24</v>
      </c>
      <c r="K25" s="47" t="s">
        <v>284</v>
      </c>
      <c r="L25" s="51"/>
      <c r="M25" s="51"/>
      <c r="N25" s="47" t="str">
        <f t="shared" si="0"/>
        <v>16|3.5C / Al / XLPE / Unarmoured</v>
      </c>
      <c r="O25" s="49"/>
    </row>
    <row r="26" spans="1:15" ht="18" customHeight="1" x14ac:dyDescent="0.45">
      <c r="A26" s="46" t="s">
        <v>282</v>
      </c>
      <c r="B26" s="47" t="s">
        <v>254</v>
      </c>
      <c r="C26" s="47" t="s">
        <v>255</v>
      </c>
      <c r="D26" s="47" t="s">
        <v>256</v>
      </c>
      <c r="E26" s="47">
        <v>25</v>
      </c>
      <c r="F26" s="47" t="s">
        <v>286</v>
      </c>
      <c r="G26" s="47">
        <v>18.600000000000001</v>
      </c>
      <c r="H26" s="47">
        <v>95</v>
      </c>
      <c r="I26" s="47">
        <v>95</v>
      </c>
      <c r="J26" s="47">
        <v>2.67</v>
      </c>
      <c r="K26" s="47" t="s">
        <v>284</v>
      </c>
      <c r="L26" s="51"/>
      <c r="M26" s="51"/>
      <c r="N26" s="47" t="str">
        <f t="shared" si="0"/>
        <v>25|3.5C / Al / XLPE / Armoured</v>
      </c>
      <c r="O26" s="49"/>
    </row>
    <row r="27" spans="1:15" ht="18" customHeight="1" x14ac:dyDescent="0.45">
      <c r="A27" s="46" t="s">
        <v>282</v>
      </c>
      <c r="B27" s="47" t="s">
        <v>254</v>
      </c>
      <c r="C27" s="47" t="s">
        <v>255</v>
      </c>
      <c r="D27" s="47" t="s">
        <v>260</v>
      </c>
      <c r="E27" s="47">
        <v>25</v>
      </c>
      <c r="F27" s="47" t="s">
        <v>287</v>
      </c>
      <c r="G27" s="47">
        <v>17.399999999999999</v>
      </c>
      <c r="H27" s="47">
        <v>95</v>
      </c>
      <c r="I27" s="47">
        <v>95</v>
      </c>
      <c r="J27" s="47">
        <v>2.67</v>
      </c>
      <c r="K27" s="47" t="s">
        <v>284</v>
      </c>
      <c r="L27" s="51"/>
      <c r="M27" s="51"/>
      <c r="N27" s="47" t="str">
        <f t="shared" si="0"/>
        <v>25|3.5C / Al / XLPE / Unarmoured</v>
      </c>
      <c r="O27" s="49"/>
    </row>
    <row r="28" spans="1:15" ht="18" customHeight="1" x14ac:dyDescent="0.45">
      <c r="A28" s="46" t="s">
        <v>282</v>
      </c>
      <c r="B28" s="47" t="s">
        <v>254</v>
      </c>
      <c r="C28" s="47" t="s">
        <v>255</v>
      </c>
      <c r="D28" s="47" t="s">
        <v>256</v>
      </c>
      <c r="E28" s="47">
        <v>35</v>
      </c>
      <c r="F28" s="47" t="s">
        <v>288</v>
      </c>
      <c r="G28" s="47">
        <v>20.100000000000001</v>
      </c>
      <c r="H28" s="47">
        <v>114</v>
      </c>
      <c r="I28" s="47">
        <v>114</v>
      </c>
      <c r="J28" s="47">
        <v>1.94</v>
      </c>
      <c r="K28" s="47" t="s">
        <v>284</v>
      </c>
      <c r="L28" s="51"/>
      <c r="M28" s="51"/>
      <c r="N28" s="47" t="str">
        <f t="shared" si="0"/>
        <v>35|3.5C / Al / XLPE / Armoured</v>
      </c>
      <c r="O28" s="49"/>
    </row>
    <row r="29" spans="1:15" ht="18" customHeight="1" x14ac:dyDescent="0.45">
      <c r="A29" s="46" t="s">
        <v>282</v>
      </c>
      <c r="B29" s="47" t="s">
        <v>254</v>
      </c>
      <c r="C29" s="47" t="s">
        <v>255</v>
      </c>
      <c r="D29" s="47" t="s">
        <v>260</v>
      </c>
      <c r="E29" s="47">
        <v>35</v>
      </c>
      <c r="F29" s="47" t="s">
        <v>289</v>
      </c>
      <c r="G29" s="47">
        <v>18.899999999999999</v>
      </c>
      <c r="H29" s="47">
        <v>114</v>
      </c>
      <c r="I29" s="47">
        <v>114</v>
      </c>
      <c r="J29" s="47">
        <v>1.94</v>
      </c>
      <c r="K29" s="47" t="s">
        <v>284</v>
      </c>
      <c r="L29" s="51"/>
      <c r="M29" s="51"/>
      <c r="N29" s="47" t="str">
        <f t="shared" si="0"/>
        <v>35|3.5C / Al / XLPE / Unarmoured</v>
      </c>
      <c r="O29" s="49"/>
    </row>
    <row r="30" spans="1:15" ht="18" customHeight="1" x14ac:dyDescent="0.45">
      <c r="A30" s="46" t="s">
        <v>282</v>
      </c>
      <c r="B30" s="47" t="s">
        <v>254</v>
      </c>
      <c r="C30" s="47" t="s">
        <v>255</v>
      </c>
      <c r="D30" s="47" t="s">
        <v>256</v>
      </c>
      <c r="E30" s="47">
        <v>50</v>
      </c>
      <c r="F30" s="47" t="s">
        <v>290</v>
      </c>
      <c r="G30" s="47">
        <v>23.3</v>
      </c>
      <c r="H30" s="47">
        <v>134</v>
      </c>
      <c r="I30" s="47">
        <v>138</v>
      </c>
      <c r="J30" s="47">
        <v>1.44</v>
      </c>
      <c r="K30" s="47" t="s">
        <v>284</v>
      </c>
      <c r="L30" s="51"/>
      <c r="M30" s="51"/>
      <c r="N30" s="47" t="str">
        <f t="shared" si="0"/>
        <v>50|3.5C / Al / XLPE / Armoured</v>
      </c>
      <c r="O30" s="49"/>
    </row>
    <row r="31" spans="1:15" ht="18" customHeight="1" x14ac:dyDescent="0.45">
      <c r="A31" s="46" t="s">
        <v>282</v>
      </c>
      <c r="B31" s="47" t="s">
        <v>254</v>
      </c>
      <c r="C31" s="47" t="s">
        <v>255</v>
      </c>
      <c r="D31" s="47" t="s">
        <v>260</v>
      </c>
      <c r="E31" s="47">
        <v>50</v>
      </c>
      <c r="F31" s="47" t="s">
        <v>291</v>
      </c>
      <c r="G31" s="47">
        <v>21.9</v>
      </c>
      <c r="H31" s="47">
        <v>134</v>
      </c>
      <c r="I31" s="47">
        <v>138</v>
      </c>
      <c r="J31" s="47">
        <v>1.44</v>
      </c>
      <c r="K31" s="47" t="s">
        <v>284</v>
      </c>
      <c r="L31" s="51"/>
      <c r="M31" s="51"/>
      <c r="N31" s="47" t="str">
        <f t="shared" si="0"/>
        <v>50|3.5C / Al / XLPE / Unarmoured</v>
      </c>
      <c r="O31" s="49"/>
    </row>
    <row r="32" spans="1:15" ht="18" customHeight="1" x14ac:dyDescent="0.45">
      <c r="A32" s="46" t="s">
        <v>282</v>
      </c>
      <c r="B32" s="47" t="s">
        <v>254</v>
      </c>
      <c r="C32" s="47" t="s">
        <v>255</v>
      </c>
      <c r="D32" s="47" t="s">
        <v>256</v>
      </c>
      <c r="E32" s="47">
        <v>70</v>
      </c>
      <c r="F32" s="47" t="s">
        <v>292</v>
      </c>
      <c r="G32" s="47">
        <v>26.5</v>
      </c>
      <c r="H32" s="47">
        <v>164</v>
      </c>
      <c r="I32" s="47">
        <v>175</v>
      </c>
      <c r="J32" s="47">
        <v>1</v>
      </c>
      <c r="K32" s="47" t="s">
        <v>284</v>
      </c>
      <c r="L32" s="51"/>
      <c r="M32" s="51"/>
      <c r="N32" s="47" t="str">
        <f t="shared" si="0"/>
        <v>70|3.5C / Al / XLPE / Armoured</v>
      </c>
      <c r="O32" s="49"/>
    </row>
    <row r="33" spans="1:15" ht="18" customHeight="1" x14ac:dyDescent="0.45">
      <c r="A33" s="46" t="s">
        <v>282</v>
      </c>
      <c r="B33" s="47" t="s">
        <v>254</v>
      </c>
      <c r="C33" s="47" t="s">
        <v>255</v>
      </c>
      <c r="D33" s="47" t="s">
        <v>260</v>
      </c>
      <c r="E33" s="47">
        <v>70</v>
      </c>
      <c r="F33" s="47" t="s">
        <v>293</v>
      </c>
      <c r="G33" s="47">
        <v>24.9</v>
      </c>
      <c r="H33" s="47">
        <v>164</v>
      </c>
      <c r="I33" s="47">
        <v>175</v>
      </c>
      <c r="J33" s="47">
        <v>1</v>
      </c>
      <c r="K33" s="47" t="s">
        <v>284</v>
      </c>
      <c r="L33" s="51"/>
      <c r="M33" s="51"/>
      <c r="N33" s="47" t="str">
        <f t="shared" si="0"/>
        <v>70|3.5C / Al / XLPE / Unarmoured</v>
      </c>
      <c r="O33" s="49"/>
    </row>
    <row r="34" spans="1:15" ht="18" customHeight="1" x14ac:dyDescent="0.45">
      <c r="A34" s="46" t="s">
        <v>282</v>
      </c>
      <c r="B34" s="47" t="s">
        <v>254</v>
      </c>
      <c r="C34" s="47" t="s">
        <v>255</v>
      </c>
      <c r="D34" s="47" t="s">
        <v>256</v>
      </c>
      <c r="E34" s="47">
        <v>95</v>
      </c>
      <c r="F34" s="47" t="s">
        <v>294</v>
      </c>
      <c r="G34" s="47">
        <v>29.7</v>
      </c>
      <c r="H34" s="47">
        <v>197</v>
      </c>
      <c r="I34" s="47">
        <v>216</v>
      </c>
      <c r="J34" s="47">
        <v>0.7</v>
      </c>
      <c r="K34" s="47" t="s">
        <v>284</v>
      </c>
      <c r="L34" s="51"/>
      <c r="M34" s="51"/>
      <c r="N34" s="47" t="str">
        <f t="shared" ref="N34:N65" si="1">E34&amp;"|"&amp;A34&amp;" / "&amp;B34&amp;" / "&amp;C34&amp;" / "&amp;D34</f>
        <v>95|3.5C / Al / XLPE / Armoured</v>
      </c>
      <c r="O34" s="49"/>
    </row>
    <row r="35" spans="1:15" ht="18" customHeight="1" x14ac:dyDescent="0.45">
      <c r="A35" s="46" t="s">
        <v>282</v>
      </c>
      <c r="B35" s="47" t="s">
        <v>254</v>
      </c>
      <c r="C35" s="47" t="s">
        <v>255</v>
      </c>
      <c r="D35" s="47" t="s">
        <v>260</v>
      </c>
      <c r="E35" s="47">
        <v>95</v>
      </c>
      <c r="F35" s="47" t="s">
        <v>295</v>
      </c>
      <c r="G35" s="47">
        <v>27.9</v>
      </c>
      <c r="H35" s="47">
        <v>197</v>
      </c>
      <c r="I35" s="47">
        <v>216</v>
      </c>
      <c r="J35" s="47">
        <v>0.7</v>
      </c>
      <c r="K35" s="47" t="s">
        <v>284</v>
      </c>
      <c r="L35" s="51"/>
      <c r="M35" s="51"/>
      <c r="N35" s="47" t="str">
        <f t="shared" si="1"/>
        <v>95|3.5C / Al / XLPE / Unarmoured</v>
      </c>
      <c r="O35" s="49"/>
    </row>
    <row r="36" spans="1:15" ht="18" customHeight="1" x14ac:dyDescent="0.45">
      <c r="A36" s="46" t="s">
        <v>282</v>
      </c>
      <c r="B36" s="47" t="s">
        <v>254</v>
      </c>
      <c r="C36" s="47" t="s">
        <v>255</v>
      </c>
      <c r="D36" s="47" t="s">
        <v>256</v>
      </c>
      <c r="E36" s="47">
        <v>120</v>
      </c>
      <c r="F36" s="47" t="s">
        <v>296</v>
      </c>
      <c r="G36" s="47">
        <v>32.9</v>
      </c>
      <c r="H36" s="47">
        <v>223</v>
      </c>
      <c r="I36" s="47">
        <v>249</v>
      </c>
      <c r="J36" s="47">
        <v>0.56000000000000005</v>
      </c>
      <c r="K36" s="47" t="s">
        <v>284</v>
      </c>
      <c r="L36" s="51"/>
      <c r="M36" s="51"/>
      <c r="N36" s="47" t="str">
        <f t="shared" si="1"/>
        <v>120|3.5C / Al / XLPE / Armoured</v>
      </c>
      <c r="O36" s="49"/>
    </row>
    <row r="37" spans="1:15" ht="18" customHeight="1" x14ac:dyDescent="0.45">
      <c r="A37" s="46" t="s">
        <v>282</v>
      </c>
      <c r="B37" s="47" t="s">
        <v>254</v>
      </c>
      <c r="C37" s="47" t="s">
        <v>255</v>
      </c>
      <c r="D37" s="47" t="s">
        <v>260</v>
      </c>
      <c r="E37" s="47">
        <v>120</v>
      </c>
      <c r="F37" s="47" t="s">
        <v>297</v>
      </c>
      <c r="G37" s="47">
        <v>30.9</v>
      </c>
      <c r="H37" s="47">
        <v>223</v>
      </c>
      <c r="I37" s="47">
        <v>249</v>
      </c>
      <c r="J37" s="47">
        <v>0.56000000000000005</v>
      </c>
      <c r="K37" s="47" t="s">
        <v>284</v>
      </c>
      <c r="L37" s="51"/>
      <c r="M37" s="51"/>
      <c r="N37" s="47" t="str">
        <f t="shared" si="1"/>
        <v>120|3.5C / Al / XLPE / Unarmoured</v>
      </c>
      <c r="O37" s="49"/>
    </row>
    <row r="38" spans="1:15" ht="18" customHeight="1" x14ac:dyDescent="0.45">
      <c r="A38" s="46" t="s">
        <v>282</v>
      </c>
      <c r="B38" s="47" t="s">
        <v>254</v>
      </c>
      <c r="C38" s="47" t="s">
        <v>255</v>
      </c>
      <c r="D38" s="47" t="s">
        <v>256</v>
      </c>
      <c r="E38" s="47">
        <v>150</v>
      </c>
      <c r="F38" s="47" t="s">
        <v>298</v>
      </c>
      <c r="G38" s="47">
        <v>36</v>
      </c>
      <c r="H38" s="47">
        <v>249</v>
      </c>
      <c r="I38" s="47">
        <v>284</v>
      </c>
      <c r="J38" s="47">
        <v>0.48</v>
      </c>
      <c r="K38" s="47" t="s">
        <v>284</v>
      </c>
      <c r="L38" s="51"/>
      <c r="M38" s="51"/>
      <c r="N38" s="47" t="str">
        <f t="shared" si="1"/>
        <v>150|3.5C / Al / XLPE / Armoured</v>
      </c>
      <c r="O38" s="49"/>
    </row>
    <row r="39" spans="1:15" ht="18" customHeight="1" x14ac:dyDescent="0.45">
      <c r="A39" s="46" t="s">
        <v>282</v>
      </c>
      <c r="B39" s="47" t="s">
        <v>254</v>
      </c>
      <c r="C39" s="47" t="s">
        <v>255</v>
      </c>
      <c r="D39" s="47" t="s">
        <v>260</v>
      </c>
      <c r="E39" s="47">
        <v>150</v>
      </c>
      <c r="F39" s="47" t="s">
        <v>299</v>
      </c>
      <c r="G39" s="47">
        <v>33.9</v>
      </c>
      <c r="H39" s="47">
        <v>249</v>
      </c>
      <c r="I39" s="47">
        <v>284</v>
      </c>
      <c r="J39" s="47">
        <v>0.48</v>
      </c>
      <c r="K39" s="47" t="s">
        <v>284</v>
      </c>
      <c r="L39" s="51"/>
      <c r="M39" s="51"/>
      <c r="N39" s="47" t="str">
        <f t="shared" si="1"/>
        <v>150|3.5C / Al / XLPE / Unarmoured</v>
      </c>
      <c r="O39" s="49"/>
    </row>
    <row r="40" spans="1:15" ht="18" customHeight="1" x14ac:dyDescent="0.45">
      <c r="A40" s="46" t="s">
        <v>282</v>
      </c>
      <c r="B40" s="47" t="s">
        <v>254</v>
      </c>
      <c r="C40" s="47" t="s">
        <v>255</v>
      </c>
      <c r="D40" s="47" t="s">
        <v>256</v>
      </c>
      <c r="E40" s="47">
        <v>185</v>
      </c>
      <c r="F40" s="47" t="s">
        <v>300</v>
      </c>
      <c r="G40" s="47">
        <v>40.299999999999997</v>
      </c>
      <c r="H40" s="47">
        <v>282</v>
      </c>
      <c r="I40" s="47">
        <v>329</v>
      </c>
      <c r="J40" s="47">
        <v>0.4</v>
      </c>
      <c r="K40" s="47" t="s">
        <v>284</v>
      </c>
      <c r="L40" s="51"/>
      <c r="M40" s="51"/>
      <c r="N40" s="47" t="str">
        <f t="shared" si="1"/>
        <v>185|3.5C / Al / XLPE / Armoured</v>
      </c>
      <c r="O40" s="49"/>
    </row>
    <row r="41" spans="1:15" ht="18" customHeight="1" x14ac:dyDescent="0.45">
      <c r="A41" s="46" t="s">
        <v>282</v>
      </c>
      <c r="B41" s="47" t="s">
        <v>254</v>
      </c>
      <c r="C41" s="47" t="s">
        <v>255</v>
      </c>
      <c r="D41" s="47" t="s">
        <v>260</v>
      </c>
      <c r="E41" s="47">
        <v>185</v>
      </c>
      <c r="F41" s="47" t="s">
        <v>301</v>
      </c>
      <c r="G41" s="47">
        <v>37.9</v>
      </c>
      <c r="H41" s="47">
        <v>282</v>
      </c>
      <c r="I41" s="47">
        <v>329</v>
      </c>
      <c r="J41" s="47">
        <v>0.4</v>
      </c>
      <c r="K41" s="47" t="s">
        <v>284</v>
      </c>
      <c r="L41" s="51"/>
      <c r="M41" s="51"/>
      <c r="N41" s="47" t="str">
        <f t="shared" si="1"/>
        <v>185|3.5C / Al / XLPE / Unarmoured</v>
      </c>
      <c r="O41" s="49"/>
    </row>
    <row r="42" spans="1:15" ht="18" customHeight="1" x14ac:dyDescent="0.45">
      <c r="A42" s="46" t="s">
        <v>282</v>
      </c>
      <c r="B42" s="47" t="s">
        <v>254</v>
      </c>
      <c r="C42" s="47" t="s">
        <v>255</v>
      </c>
      <c r="D42" s="47" t="s">
        <v>256</v>
      </c>
      <c r="E42" s="47">
        <v>240</v>
      </c>
      <c r="F42" s="47" t="s">
        <v>302</v>
      </c>
      <c r="G42" s="47">
        <v>45.6</v>
      </c>
      <c r="H42" s="47">
        <v>327</v>
      </c>
      <c r="I42" s="47">
        <v>392</v>
      </c>
      <c r="J42" s="47">
        <v>0.3</v>
      </c>
      <c r="K42" s="47" t="s">
        <v>284</v>
      </c>
      <c r="L42" s="51"/>
      <c r="M42" s="51"/>
      <c r="N42" s="47" t="str">
        <f t="shared" si="1"/>
        <v>240|3.5C / Al / XLPE / Armoured</v>
      </c>
      <c r="O42" s="49"/>
    </row>
    <row r="43" spans="1:15" ht="18" customHeight="1" x14ac:dyDescent="0.45">
      <c r="A43" s="46" t="s">
        <v>282</v>
      </c>
      <c r="B43" s="47" t="s">
        <v>254</v>
      </c>
      <c r="C43" s="47" t="s">
        <v>255</v>
      </c>
      <c r="D43" s="47" t="s">
        <v>260</v>
      </c>
      <c r="E43" s="47">
        <v>240</v>
      </c>
      <c r="F43" s="47" t="s">
        <v>303</v>
      </c>
      <c r="G43" s="47">
        <v>42.8</v>
      </c>
      <c r="H43" s="47">
        <v>327</v>
      </c>
      <c r="I43" s="47">
        <v>392</v>
      </c>
      <c r="J43" s="47">
        <v>0.3</v>
      </c>
      <c r="K43" s="47" t="s">
        <v>284</v>
      </c>
      <c r="L43" s="51"/>
      <c r="M43" s="51"/>
      <c r="N43" s="47" t="str">
        <f t="shared" si="1"/>
        <v>240|3.5C / Al / XLPE / Unarmoured</v>
      </c>
      <c r="O43" s="49"/>
    </row>
    <row r="44" spans="1:15" ht="18" customHeight="1" x14ac:dyDescent="0.45">
      <c r="A44" s="46" t="s">
        <v>282</v>
      </c>
      <c r="B44" s="47" t="s">
        <v>254</v>
      </c>
      <c r="C44" s="47" t="s">
        <v>255</v>
      </c>
      <c r="D44" s="47" t="s">
        <v>256</v>
      </c>
      <c r="E44" s="47">
        <v>300</v>
      </c>
      <c r="F44" s="47" t="s">
        <v>304</v>
      </c>
      <c r="G44" s="47">
        <v>50.9</v>
      </c>
      <c r="H44" s="47">
        <v>369</v>
      </c>
      <c r="I44" s="47">
        <v>452</v>
      </c>
      <c r="J44" s="47">
        <v>0.26</v>
      </c>
      <c r="K44" s="47" t="s">
        <v>284</v>
      </c>
      <c r="L44" s="51"/>
      <c r="M44" s="51"/>
      <c r="N44" s="47" t="str">
        <f t="shared" si="1"/>
        <v>300|3.5C / Al / XLPE / Armoured</v>
      </c>
      <c r="O44" s="49"/>
    </row>
    <row r="45" spans="1:15" ht="18" customHeight="1" x14ac:dyDescent="0.45">
      <c r="A45" s="46" t="s">
        <v>282</v>
      </c>
      <c r="B45" s="47" t="s">
        <v>254</v>
      </c>
      <c r="C45" s="47" t="s">
        <v>255</v>
      </c>
      <c r="D45" s="47" t="s">
        <v>260</v>
      </c>
      <c r="E45" s="47">
        <v>300</v>
      </c>
      <c r="F45" s="47" t="s">
        <v>305</v>
      </c>
      <c r="G45" s="47">
        <v>47.8</v>
      </c>
      <c r="H45" s="47">
        <v>369</v>
      </c>
      <c r="I45" s="47">
        <v>452</v>
      </c>
      <c r="J45" s="47">
        <v>0.26</v>
      </c>
      <c r="K45" s="47" t="s">
        <v>284</v>
      </c>
      <c r="L45" s="51"/>
      <c r="M45" s="51"/>
      <c r="N45" s="47" t="str">
        <f t="shared" si="1"/>
        <v>300|3.5C / Al / XLPE / Unarmoured</v>
      </c>
      <c r="O45" s="49"/>
    </row>
    <row r="46" spans="1:15" ht="18" customHeight="1" x14ac:dyDescent="0.45">
      <c r="A46" s="46" t="s">
        <v>282</v>
      </c>
      <c r="B46" s="47" t="s">
        <v>254</v>
      </c>
      <c r="C46" s="47" t="s">
        <v>255</v>
      </c>
      <c r="D46" s="47" t="s">
        <v>256</v>
      </c>
      <c r="E46" s="47">
        <v>400</v>
      </c>
      <c r="F46" s="47" t="s">
        <v>306</v>
      </c>
      <c r="G46" s="47">
        <v>57.2</v>
      </c>
      <c r="H46" s="47">
        <v>420</v>
      </c>
      <c r="I46" s="47">
        <v>526</v>
      </c>
      <c r="J46" s="47">
        <v>0.21</v>
      </c>
      <c r="K46" s="47" t="s">
        <v>284</v>
      </c>
      <c r="L46" s="51"/>
      <c r="M46" s="51"/>
      <c r="N46" s="47" t="str">
        <f t="shared" si="1"/>
        <v>400|3.5C / Al / XLPE / Armoured</v>
      </c>
      <c r="O46" s="49"/>
    </row>
    <row r="47" spans="1:15" ht="18" customHeight="1" x14ac:dyDescent="0.45">
      <c r="A47" s="46" t="s">
        <v>282</v>
      </c>
      <c r="B47" s="47" t="s">
        <v>254</v>
      </c>
      <c r="C47" s="47" t="s">
        <v>255</v>
      </c>
      <c r="D47" s="47" t="s">
        <v>260</v>
      </c>
      <c r="E47" s="47">
        <v>400</v>
      </c>
      <c r="F47" s="47" t="s">
        <v>307</v>
      </c>
      <c r="G47" s="47">
        <v>53.8</v>
      </c>
      <c r="H47" s="47">
        <v>420</v>
      </c>
      <c r="I47" s="47">
        <v>526</v>
      </c>
      <c r="J47" s="47">
        <v>0.21</v>
      </c>
      <c r="K47" s="47" t="s">
        <v>284</v>
      </c>
      <c r="L47" s="51"/>
      <c r="M47" s="51"/>
      <c r="N47" s="47" t="str">
        <f t="shared" si="1"/>
        <v>400|3.5C / Al / XLPE / Unarmoured</v>
      </c>
      <c r="O47" s="49"/>
    </row>
    <row r="48" spans="1:15" ht="18" customHeight="1" x14ac:dyDescent="0.45">
      <c r="A48" s="46" t="s">
        <v>308</v>
      </c>
      <c r="B48" s="47" t="s">
        <v>254</v>
      </c>
      <c r="C48" s="47" t="s">
        <v>255</v>
      </c>
      <c r="D48" s="47" t="s">
        <v>256</v>
      </c>
      <c r="E48" s="47">
        <v>16</v>
      </c>
      <c r="F48" s="47" t="s">
        <v>309</v>
      </c>
      <c r="G48" s="47">
        <v>16.5</v>
      </c>
      <c r="H48" s="47">
        <v>70</v>
      </c>
      <c r="I48" s="47">
        <v>73</v>
      </c>
      <c r="J48" s="47">
        <v>4.5</v>
      </c>
      <c r="K48" s="47" t="s">
        <v>310</v>
      </c>
      <c r="L48" s="51"/>
      <c r="M48" s="51"/>
      <c r="N48" s="47" t="str">
        <f t="shared" si="1"/>
        <v>16|4C / Al / XLPE / Armoured</v>
      </c>
      <c r="O48" s="49"/>
    </row>
    <row r="49" spans="1:15" ht="18" customHeight="1" x14ac:dyDescent="0.45">
      <c r="A49" s="46" t="s">
        <v>308</v>
      </c>
      <c r="B49" s="47" t="s">
        <v>254</v>
      </c>
      <c r="C49" s="47" t="s">
        <v>255</v>
      </c>
      <c r="D49" s="47" t="s">
        <v>260</v>
      </c>
      <c r="E49" s="47">
        <v>16</v>
      </c>
      <c r="F49" s="47" t="s">
        <v>311</v>
      </c>
      <c r="G49" s="47">
        <v>15.5</v>
      </c>
      <c r="H49" s="47">
        <v>70</v>
      </c>
      <c r="I49" s="47">
        <v>73</v>
      </c>
      <c r="J49" s="47">
        <v>4.5</v>
      </c>
      <c r="K49" s="47" t="s">
        <v>310</v>
      </c>
      <c r="L49" s="51"/>
      <c r="M49" s="51"/>
      <c r="N49" s="47" t="str">
        <f t="shared" si="1"/>
        <v>16|4C / Al / XLPE / Unarmoured</v>
      </c>
      <c r="O49" s="49"/>
    </row>
    <row r="50" spans="1:15" ht="18" customHeight="1" x14ac:dyDescent="0.45">
      <c r="A50" s="46" t="s">
        <v>308</v>
      </c>
      <c r="B50" s="47" t="s">
        <v>254</v>
      </c>
      <c r="C50" s="47" t="s">
        <v>255</v>
      </c>
      <c r="D50" s="47" t="s">
        <v>256</v>
      </c>
      <c r="E50" s="47">
        <v>25</v>
      </c>
      <c r="F50" s="47" t="s">
        <v>312</v>
      </c>
      <c r="G50" s="47">
        <v>19.2</v>
      </c>
      <c r="H50" s="47">
        <v>92</v>
      </c>
      <c r="I50" s="47">
        <v>95</v>
      </c>
      <c r="J50" s="47">
        <v>2.8</v>
      </c>
      <c r="K50" s="47" t="s">
        <v>310</v>
      </c>
      <c r="L50" s="51"/>
      <c r="M50" s="51"/>
      <c r="N50" s="47" t="str">
        <f t="shared" si="1"/>
        <v>25|4C / Al / XLPE / Armoured</v>
      </c>
      <c r="O50" s="49"/>
    </row>
    <row r="51" spans="1:15" ht="18" customHeight="1" x14ac:dyDescent="0.45">
      <c r="A51" s="46" t="s">
        <v>308</v>
      </c>
      <c r="B51" s="47" t="s">
        <v>254</v>
      </c>
      <c r="C51" s="47" t="s">
        <v>255</v>
      </c>
      <c r="D51" s="47" t="s">
        <v>260</v>
      </c>
      <c r="E51" s="47">
        <v>25</v>
      </c>
      <c r="F51" s="47" t="s">
        <v>313</v>
      </c>
      <c r="G51" s="47">
        <v>18.100000000000001</v>
      </c>
      <c r="H51" s="47">
        <v>92</v>
      </c>
      <c r="I51" s="47">
        <v>95</v>
      </c>
      <c r="J51" s="47">
        <v>2.8</v>
      </c>
      <c r="K51" s="47" t="s">
        <v>310</v>
      </c>
      <c r="L51" s="48">
        <v>1.54</v>
      </c>
      <c r="M51" s="48">
        <v>0.08</v>
      </c>
      <c r="N51" s="47" t="str">
        <f t="shared" si="1"/>
        <v>25|4C / Al / XLPE / Unarmoured</v>
      </c>
      <c r="O51" s="49"/>
    </row>
    <row r="52" spans="1:15" ht="18" customHeight="1" x14ac:dyDescent="0.45">
      <c r="A52" s="46" t="s">
        <v>308</v>
      </c>
      <c r="B52" s="47" t="s">
        <v>254</v>
      </c>
      <c r="C52" s="47" t="s">
        <v>255</v>
      </c>
      <c r="D52" s="47" t="s">
        <v>256</v>
      </c>
      <c r="E52" s="47">
        <v>35</v>
      </c>
      <c r="F52" s="47" t="s">
        <v>314</v>
      </c>
      <c r="G52" s="47">
        <v>20.9</v>
      </c>
      <c r="H52" s="47">
        <v>110</v>
      </c>
      <c r="I52" s="47">
        <v>115</v>
      </c>
      <c r="J52" s="47">
        <v>2</v>
      </c>
      <c r="K52" s="47" t="s">
        <v>310</v>
      </c>
      <c r="L52" s="51"/>
      <c r="M52" s="51"/>
      <c r="N52" s="47" t="str">
        <f t="shared" si="1"/>
        <v>35|4C / Al / XLPE / Armoured</v>
      </c>
      <c r="O52" s="49"/>
    </row>
    <row r="53" spans="1:15" ht="18" customHeight="1" x14ac:dyDescent="0.45">
      <c r="A53" s="46" t="s">
        <v>308</v>
      </c>
      <c r="B53" s="47" t="s">
        <v>254</v>
      </c>
      <c r="C53" s="47" t="s">
        <v>255</v>
      </c>
      <c r="D53" s="47" t="s">
        <v>260</v>
      </c>
      <c r="E53" s="47">
        <v>35</v>
      </c>
      <c r="F53" s="47" t="s">
        <v>315</v>
      </c>
      <c r="G53" s="47">
        <v>19.600000000000001</v>
      </c>
      <c r="H53" s="47">
        <v>110</v>
      </c>
      <c r="I53" s="47">
        <v>115</v>
      </c>
      <c r="J53" s="47">
        <v>2</v>
      </c>
      <c r="K53" s="47" t="s">
        <v>310</v>
      </c>
      <c r="L53" s="51"/>
      <c r="M53" s="51"/>
      <c r="N53" s="47" t="str">
        <f t="shared" si="1"/>
        <v>35|4C / Al / XLPE / Unarmoured</v>
      </c>
      <c r="O53" s="49"/>
    </row>
    <row r="54" spans="1:15" ht="18" customHeight="1" x14ac:dyDescent="0.45">
      <c r="A54" s="46" t="s">
        <v>308</v>
      </c>
      <c r="B54" s="47" t="s">
        <v>254</v>
      </c>
      <c r="C54" s="47" t="s">
        <v>255</v>
      </c>
      <c r="D54" s="47" t="s">
        <v>256</v>
      </c>
      <c r="E54" s="47">
        <v>50</v>
      </c>
      <c r="F54" s="47" t="s">
        <v>316</v>
      </c>
      <c r="G54" s="47">
        <v>24.2</v>
      </c>
      <c r="H54" s="47">
        <v>130</v>
      </c>
      <c r="I54" s="47">
        <v>137</v>
      </c>
      <c r="J54" s="47">
        <v>1.5</v>
      </c>
      <c r="K54" s="47" t="s">
        <v>310</v>
      </c>
      <c r="L54" s="51"/>
      <c r="M54" s="51"/>
      <c r="N54" s="47" t="str">
        <f t="shared" si="1"/>
        <v>50|4C / Al / XLPE / Armoured</v>
      </c>
      <c r="O54" s="49"/>
    </row>
    <row r="55" spans="1:15" ht="18" customHeight="1" x14ac:dyDescent="0.45">
      <c r="A55" s="46" t="s">
        <v>308</v>
      </c>
      <c r="B55" s="47" t="s">
        <v>254</v>
      </c>
      <c r="C55" s="47" t="s">
        <v>255</v>
      </c>
      <c r="D55" s="47" t="s">
        <v>260</v>
      </c>
      <c r="E55" s="47">
        <v>50</v>
      </c>
      <c r="F55" s="47" t="s">
        <v>317</v>
      </c>
      <c r="G55" s="47">
        <v>22.7</v>
      </c>
      <c r="H55" s="47">
        <v>130</v>
      </c>
      <c r="I55" s="47">
        <v>137</v>
      </c>
      <c r="J55" s="47">
        <v>1.5</v>
      </c>
      <c r="K55" s="47" t="s">
        <v>310</v>
      </c>
      <c r="L55" s="51"/>
      <c r="M55" s="51"/>
      <c r="N55" s="47" t="str">
        <f t="shared" si="1"/>
        <v>50|4C / Al / XLPE / Unarmoured</v>
      </c>
      <c r="O55" s="49"/>
    </row>
    <row r="56" spans="1:15" ht="18" customHeight="1" x14ac:dyDescent="0.45">
      <c r="A56" s="46" t="s">
        <v>308</v>
      </c>
      <c r="B56" s="47" t="s">
        <v>254</v>
      </c>
      <c r="C56" s="47" t="s">
        <v>255</v>
      </c>
      <c r="D56" s="47" t="s">
        <v>256</v>
      </c>
      <c r="E56" s="47">
        <v>70</v>
      </c>
      <c r="F56" s="47" t="s">
        <v>318</v>
      </c>
      <c r="G56" s="47">
        <v>27.5</v>
      </c>
      <c r="H56" s="47">
        <v>160</v>
      </c>
      <c r="I56" s="47">
        <v>173</v>
      </c>
      <c r="J56" s="47">
        <v>1.05</v>
      </c>
      <c r="K56" s="47" t="s">
        <v>310</v>
      </c>
      <c r="L56" s="51"/>
      <c r="M56" s="51"/>
      <c r="N56" s="47" t="str">
        <f t="shared" si="1"/>
        <v>70|4C / Al / XLPE / Armoured</v>
      </c>
      <c r="O56" s="49"/>
    </row>
    <row r="57" spans="1:15" ht="18" customHeight="1" x14ac:dyDescent="0.45">
      <c r="A57" s="46" t="s">
        <v>308</v>
      </c>
      <c r="B57" s="47" t="s">
        <v>254</v>
      </c>
      <c r="C57" s="47" t="s">
        <v>255</v>
      </c>
      <c r="D57" s="47" t="s">
        <v>260</v>
      </c>
      <c r="E57" s="47">
        <v>70</v>
      </c>
      <c r="F57" s="47" t="s">
        <v>319</v>
      </c>
      <c r="G57" s="47">
        <v>25.9</v>
      </c>
      <c r="H57" s="47">
        <v>160</v>
      </c>
      <c r="I57" s="47">
        <v>173</v>
      </c>
      <c r="J57" s="47">
        <v>1.05</v>
      </c>
      <c r="K57" s="47" t="s">
        <v>310</v>
      </c>
      <c r="L57" s="51"/>
      <c r="M57" s="51"/>
      <c r="N57" s="47" t="str">
        <f t="shared" si="1"/>
        <v>70|4C / Al / XLPE / Unarmoured</v>
      </c>
      <c r="O57" s="49"/>
    </row>
    <row r="58" spans="1:15" ht="18" customHeight="1" x14ac:dyDescent="0.45">
      <c r="A58" s="46" t="s">
        <v>308</v>
      </c>
      <c r="B58" s="47" t="s">
        <v>254</v>
      </c>
      <c r="C58" s="47" t="s">
        <v>255</v>
      </c>
      <c r="D58" s="47" t="s">
        <v>256</v>
      </c>
      <c r="E58" s="47">
        <v>95</v>
      </c>
      <c r="F58" s="47" t="s">
        <v>320</v>
      </c>
      <c r="G58" s="47">
        <v>30.8</v>
      </c>
      <c r="H58" s="47">
        <v>192</v>
      </c>
      <c r="I58" s="47">
        <v>214</v>
      </c>
      <c r="J58" s="47">
        <v>0.72</v>
      </c>
      <c r="K58" s="47" t="s">
        <v>310</v>
      </c>
      <c r="L58" s="51"/>
      <c r="M58" s="51"/>
      <c r="N58" s="47" t="str">
        <f t="shared" si="1"/>
        <v>95|4C / Al / XLPE / Armoured</v>
      </c>
      <c r="O58" s="49"/>
    </row>
    <row r="59" spans="1:15" ht="18" customHeight="1" x14ac:dyDescent="0.45">
      <c r="A59" s="46" t="s">
        <v>308</v>
      </c>
      <c r="B59" s="47" t="s">
        <v>254</v>
      </c>
      <c r="C59" s="47" t="s">
        <v>255</v>
      </c>
      <c r="D59" s="47" t="s">
        <v>260</v>
      </c>
      <c r="E59" s="47">
        <v>95</v>
      </c>
      <c r="F59" s="47" t="s">
        <v>321</v>
      </c>
      <c r="G59" s="47">
        <v>29</v>
      </c>
      <c r="H59" s="47">
        <v>192</v>
      </c>
      <c r="I59" s="47">
        <v>214</v>
      </c>
      <c r="J59" s="47">
        <v>0.72</v>
      </c>
      <c r="K59" s="47" t="s">
        <v>310</v>
      </c>
      <c r="L59" s="51"/>
      <c r="M59" s="51"/>
      <c r="N59" s="47" t="str">
        <f t="shared" si="1"/>
        <v>95|4C / Al / XLPE / Unarmoured</v>
      </c>
      <c r="O59" s="49"/>
    </row>
    <row r="60" spans="1:15" ht="18" customHeight="1" x14ac:dyDescent="0.45">
      <c r="A60" s="46" t="s">
        <v>308</v>
      </c>
      <c r="B60" s="47" t="s">
        <v>254</v>
      </c>
      <c r="C60" s="47" t="s">
        <v>255</v>
      </c>
      <c r="D60" s="47" t="s">
        <v>256</v>
      </c>
      <c r="E60" s="47">
        <v>120</v>
      </c>
      <c r="F60" s="47" t="s">
        <v>322</v>
      </c>
      <c r="G60" s="47">
        <v>34.1</v>
      </c>
      <c r="H60" s="47">
        <v>218</v>
      </c>
      <c r="I60" s="47">
        <v>247</v>
      </c>
      <c r="J60" s="47">
        <v>0.56999999999999995</v>
      </c>
      <c r="K60" s="47" t="s">
        <v>310</v>
      </c>
      <c r="L60" s="51"/>
      <c r="M60" s="51"/>
      <c r="N60" s="47" t="str">
        <f t="shared" si="1"/>
        <v>120|4C / Al / XLPE / Armoured</v>
      </c>
      <c r="O60" s="49"/>
    </row>
    <row r="61" spans="1:15" ht="18" customHeight="1" x14ac:dyDescent="0.45">
      <c r="A61" s="46" t="s">
        <v>308</v>
      </c>
      <c r="B61" s="47" t="s">
        <v>254</v>
      </c>
      <c r="C61" s="47" t="s">
        <v>255</v>
      </c>
      <c r="D61" s="47" t="s">
        <v>260</v>
      </c>
      <c r="E61" s="47">
        <v>120</v>
      </c>
      <c r="F61" s="47" t="s">
        <v>323</v>
      </c>
      <c r="G61" s="47">
        <v>32.1</v>
      </c>
      <c r="H61" s="47">
        <v>218</v>
      </c>
      <c r="I61" s="47">
        <v>247</v>
      </c>
      <c r="J61" s="47">
        <v>0.56999999999999995</v>
      </c>
      <c r="K61" s="47" t="s">
        <v>310</v>
      </c>
      <c r="L61" s="51"/>
      <c r="M61" s="51"/>
      <c r="N61" s="47" t="str">
        <f t="shared" si="1"/>
        <v>120|4C / Al / XLPE / Unarmoured</v>
      </c>
      <c r="O61" s="49"/>
    </row>
    <row r="62" spans="1:15" ht="18" customHeight="1" x14ac:dyDescent="0.45">
      <c r="A62" s="46" t="s">
        <v>308</v>
      </c>
      <c r="B62" s="47" t="s">
        <v>254</v>
      </c>
      <c r="C62" s="47" t="s">
        <v>255</v>
      </c>
      <c r="D62" s="47" t="s">
        <v>256</v>
      </c>
      <c r="E62" s="47">
        <v>150</v>
      </c>
      <c r="F62" s="47" t="s">
        <v>324</v>
      </c>
      <c r="G62" s="47">
        <v>37.4</v>
      </c>
      <c r="H62" s="47">
        <v>245</v>
      </c>
      <c r="I62" s="47">
        <v>280</v>
      </c>
      <c r="J62" s="47">
        <v>0.49</v>
      </c>
      <c r="K62" s="47" t="s">
        <v>310</v>
      </c>
      <c r="L62" s="51"/>
      <c r="M62" s="51"/>
      <c r="N62" s="47" t="str">
        <f t="shared" si="1"/>
        <v>150|4C / Al / XLPE / Armoured</v>
      </c>
      <c r="O62" s="49"/>
    </row>
    <row r="63" spans="1:15" ht="18" customHeight="1" x14ac:dyDescent="0.45">
      <c r="A63" s="46" t="s">
        <v>308</v>
      </c>
      <c r="B63" s="47" t="s">
        <v>254</v>
      </c>
      <c r="C63" s="47" t="s">
        <v>255</v>
      </c>
      <c r="D63" s="47" t="s">
        <v>260</v>
      </c>
      <c r="E63" s="47">
        <v>150</v>
      </c>
      <c r="F63" s="47" t="s">
        <v>325</v>
      </c>
      <c r="G63" s="47">
        <v>35.200000000000003</v>
      </c>
      <c r="H63" s="47">
        <v>245</v>
      </c>
      <c r="I63" s="47">
        <v>280</v>
      </c>
      <c r="J63" s="47">
        <v>0.49</v>
      </c>
      <c r="K63" s="47" t="s">
        <v>310</v>
      </c>
      <c r="L63" s="51"/>
      <c r="M63" s="51"/>
      <c r="N63" s="47" t="str">
        <f t="shared" si="1"/>
        <v>150|4C / Al / XLPE / Unarmoured</v>
      </c>
      <c r="O63" s="49"/>
    </row>
    <row r="64" spans="1:15" ht="18" customHeight="1" x14ac:dyDescent="0.45">
      <c r="A64" s="46" t="s">
        <v>308</v>
      </c>
      <c r="B64" s="47" t="s">
        <v>254</v>
      </c>
      <c r="C64" s="47" t="s">
        <v>255</v>
      </c>
      <c r="D64" s="47" t="s">
        <v>256</v>
      </c>
      <c r="E64" s="47">
        <v>185</v>
      </c>
      <c r="F64" s="47" t="s">
        <v>326</v>
      </c>
      <c r="G64" s="47">
        <v>41.8</v>
      </c>
      <c r="H64" s="47">
        <v>278</v>
      </c>
      <c r="I64" s="47">
        <v>325</v>
      </c>
      <c r="J64" s="47">
        <v>0.41</v>
      </c>
      <c r="K64" s="47" t="s">
        <v>310</v>
      </c>
      <c r="L64" s="51"/>
      <c r="M64" s="51"/>
      <c r="N64" s="47" t="str">
        <f t="shared" si="1"/>
        <v>185|4C / Al / XLPE / Armoured</v>
      </c>
      <c r="O64" s="49"/>
    </row>
    <row r="65" spans="1:15" ht="18" customHeight="1" x14ac:dyDescent="0.45">
      <c r="A65" s="46" t="s">
        <v>308</v>
      </c>
      <c r="B65" s="47" t="s">
        <v>254</v>
      </c>
      <c r="C65" s="47" t="s">
        <v>255</v>
      </c>
      <c r="D65" s="47" t="s">
        <v>260</v>
      </c>
      <c r="E65" s="47">
        <v>185</v>
      </c>
      <c r="F65" s="47" t="s">
        <v>327</v>
      </c>
      <c r="G65" s="47">
        <v>39.299999999999997</v>
      </c>
      <c r="H65" s="47">
        <v>278</v>
      </c>
      <c r="I65" s="47">
        <v>325</v>
      </c>
      <c r="J65" s="47">
        <v>0.41</v>
      </c>
      <c r="K65" s="47" t="s">
        <v>310</v>
      </c>
      <c r="L65" s="51"/>
      <c r="M65" s="51"/>
      <c r="N65" s="47" t="str">
        <f t="shared" si="1"/>
        <v>185|4C / Al / XLPE / Unarmoured</v>
      </c>
      <c r="O65" s="49"/>
    </row>
    <row r="66" spans="1:15" ht="18" customHeight="1" x14ac:dyDescent="0.45">
      <c r="A66" s="46" t="s">
        <v>308</v>
      </c>
      <c r="B66" s="47" t="s">
        <v>254</v>
      </c>
      <c r="C66" s="47" t="s">
        <v>255</v>
      </c>
      <c r="D66" s="47" t="s">
        <v>256</v>
      </c>
      <c r="E66" s="47">
        <v>240</v>
      </c>
      <c r="F66" s="47" t="s">
        <v>328</v>
      </c>
      <c r="G66" s="47">
        <v>47.3</v>
      </c>
      <c r="H66" s="47">
        <v>322</v>
      </c>
      <c r="I66" s="47">
        <v>388</v>
      </c>
      <c r="J66" s="47">
        <v>0.31</v>
      </c>
      <c r="K66" s="47" t="s">
        <v>310</v>
      </c>
      <c r="L66" s="51"/>
      <c r="M66" s="51"/>
      <c r="N66" s="47" t="str">
        <f t="shared" ref="N66:N97" si="2">E66&amp;"|"&amp;A66&amp;" / "&amp;B66&amp;" / "&amp;C66&amp;" / "&amp;D66</f>
        <v>240|4C / Al / XLPE / Armoured</v>
      </c>
      <c r="O66" s="49"/>
    </row>
    <row r="67" spans="1:15" ht="18" customHeight="1" x14ac:dyDescent="0.45">
      <c r="A67" s="46" t="s">
        <v>308</v>
      </c>
      <c r="B67" s="47" t="s">
        <v>254</v>
      </c>
      <c r="C67" s="47" t="s">
        <v>255</v>
      </c>
      <c r="D67" s="47" t="s">
        <v>260</v>
      </c>
      <c r="E67" s="47">
        <v>240</v>
      </c>
      <c r="F67" s="47" t="s">
        <v>329</v>
      </c>
      <c r="G67" s="47">
        <v>44.5</v>
      </c>
      <c r="H67" s="47">
        <v>322</v>
      </c>
      <c r="I67" s="47">
        <v>388</v>
      </c>
      <c r="J67" s="47">
        <v>0.31</v>
      </c>
      <c r="K67" s="47" t="s">
        <v>310</v>
      </c>
      <c r="L67" s="51"/>
      <c r="M67" s="51"/>
      <c r="N67" s="47" t="str">
        <f t="shared" si="2"/>
        <v>240|4C / Al / XLPE / Unarmoured</v>
      </c>
      <c r="O67" s="49"/>
    </row>
    <row r="68" spans="1:15" ht="18" customHeight="1" x14ac:dyDescent="0.45">
      <c r="A68" s="46" t="s">
        <v>308</v>
      </c>
      <c r="B68" s="47" t="s">
        <v>254</v>
      </c>
      <c r="C68" s="47" t="s">
        <v>255</v>
      </c>
      <c r="D68" s="47" t="s">
        <v>256</v>
      </c>
      <c r="E68" s="47">
        <v>300</v>
      </c>
      <c r="F68" s="47" t="s">
        <v>330</v>
      </c>
      <c r="G68" s="47">
        <v>52.8</v>
      </c>
      <c r="H68" s="47">
        <v>363</v>
      </c>
      <c r="I68" s="47">
        <v>447</v>
      </c>
      <c r="J68" s="47">
        <v>0.27</v>
      </c>
      <c r="K68" s="47" t="s">
        <v>310</v>
      </c>
      <c r="L68" s="51"/>
      <c r="M68" s="51"/>
      <c r="N68" s="47" t="str">
        <f t="shared" si="2"/>
        <v>300|4C / Al / XLPE / Armoured</v>
      </c>
      <c r="O68" s="49"/>
    </row>
    <row r="69" spans="1:15" ht="18" customHeight="1" x14ac:dyDescent="0.45">
      <c r="A69" s="46" t="s">
        <v>308</v>
      </c>
      <c r="B69" s="47" t="s">
        <v>254</v>
      </c>
      <c r="C69" s="47" t="s">
        <v>255</v>
      </c>
      <c r="D69" s="47" t="s">
        <v>260</v>
      </c>
      <c r="E69" s="47">
        <v>300</v>
      </c>
      <c r="F69" s="47" t="s">
        <v>331</v>
      </c>
      <c r="G69" s="47">
        <v>49.6</v>
      </c>
      <c r="H69" s="47">
        <v>363</v>
      </c>
      <c r="I69" s="47">
        <v>447</v>
      </c>
      <c r="J69" s="47">
        <v>0.27</v>
      </c>
      <c r="K69" s="47" t="s">
        <v>310</v>
      </c>
      <c r="L69" s="51"/>
      <c r="M69" s="51"/>
      <c r="N69" s="47" t="str">
        <f t="shared" si="2"/>
        <v>300|4C / Al / XLPE / Unarmoured</v>
      </c>
      <c r="O69" s="49"/>
    </row>
    <row r="70" spans="1:15" ht="18" customHeight="1" x14ac:dyDescent="0.45">
      <c r="A70" s="46" t="s">
        <v>308</v>
      </c>
      <c r="B70" s="47" t="s">
        <v>254</v>
      </c>
      <c r="C70" s="47" t="s">
        <v>255</v>
      </c>
      <c r="D70" s="47" t="s">
        <v>256</v>
      </c>
      <c r="E70" s="47">
        <v>400</v>
      </c>
      <c r="F70" s="47" t="s">
        <v>332</v>
      </c>
      <c r="G70" s="47">
        <v>59.4</v>
      </c>
      <c r="H70" s="47">
        <v>412</v>
      </c>
      <c r="I70" s="47">
        <v>520</v>
      </c>
      <c r="J70" s="47">
        <v>0.22</v>
      </c>
      <c r="K70" s="47" t="s">
        <v>310</v>
      </c>
      <c r="L70" s="51"/>
      <c r="M70" s="51"/>
      <c r="N70" s="47" t="str">
        <f t="shared" si="2"/>
        <v>400|4C / Al / XLPE / Armoured</v>
      </c>
      <c r="O70" s="49"/>
    </row>
    <row r="71" spans="1:15" ht="18" customHeight="1" x14ac:dyDescent="0.45">
      <c r="A71" s="46" t="s">
        <v>308</v>
      </c>
      <c r="B71" s="47" t="s">
        <v>254</v>
      </c>
      <c r="C71" s="47" t="s">
        <v>255</v>
      </c>
      <c r="D71" s="47" t="s">
        <v>260</v>
      </c>
      <c r="E71" s="47">
        <v>400</v>
      </c>
      <c r="F71" s="47" t="s">
        <v>333</v>
      </c>
      <c r="G71" s="47">
        <v>55.8</v>
      </c>
      <c r="H71" s="47">
        <v>412</v>
      </c>
      <c r="I71" s="47">
        <v>520</v>
      </c>
      <c r="J71" s="47">
        <v>0.22</v>
      </c>
      <c r="K71" s="47" t="s">
        <v>310</v>
      </c>
      <c r="L71" s="51"/>
      <c r="M71" s="51"/>
      <c r="N71" s="47" t="str">
        <f t="shared" si="2"/>
        <v>400|4C / Al / XLPE / Unarmoured</v>
      </c>
      <c r="O71" s="49"/>
    </row>
    <row r="72" spans="1:15" ht="18" customHeight="1" x14ac:dyDescent="0.45">
      <c r="A72" s="46" t="s">
        <v>178</v>
      </c>
      <c r="B72" s="47" t="s">
        <v>334</v>
      </c>
      <c r="C72" s="47" t="s">
        <v>255</v>
      </c>
      <c r="D72" s="47" t="s">
        <v>256</v>
      </c>
      <c r="E72" s="47">
        <v>25</v>
      </c>
      <c r="F72" s="47" t="s">
        <v>335</v>
      </c>
      <c r="G72" s="47">
        <v>17.899999999999999</v>
      </c>
      <c r="H72" s="47">
        <v>117.5</v>
      </c>
      <c r="I72" s="47">
        <v>120</v>
      </c>
      <c r="J72" s="47">
        <v>1.232</v>
      </c>
      <c r="K72" s="47" t="s">
        <v>336</v>
      </c>
      <c r="L72" s="51"/>
      <c r="M72" s="51"/>
      <c r="N72" s="47" t="str">
        <f t="shared" si="2"/>
        <v>25|3C / Cu / XLPE / Armoured</v>
      </c>
      <c r="O72" s="49"/>
    </row>
    <row r="73" spans="1:15" ht="18" customHeight="1" x14ac:dyDescent="0.45">
      <c r="A73" s="46" t="s">
        <v>178</v>
      </c>
      <c r="B73" s="47" t="s">
        <v>334</v>
      </c>
      <c r="C73" s="47" t="s">
        <v>255</v>
      </c>
      <c r="D73" s="47" t="s">
        <v>260</v>
      </c>
      <c r="E73" s="47">
        <v>25</v>
      </c>
      <c r="F73" s="47" t="s">
        <v>337</v>
      </c>
      <c r="G73" s="47">
        <v>16.8</v>
      </c>
      <c r="H73" s="47">
        <v>117.5</v>
      </c>
      <c r="I73" s="47">
        <v>120</v>
      </c>
      <c r="J73" s="47">
        <v>1.232</v>
      </c>
      <c r="K73" s="47" t="s">
        <v>336</v>
      </c>
      <c r="L73" s="51"/>
      <c r="M73" s="51"/>
      <c r="N73" s="47" t="str">
        <f t="shared" si="2"/>
        <v>25|3C / Cu / XLPE / Unarmoured</v>
      </c>
      <c r="O73" s="49"/>
    </row>
    <row r="74" spans="1:15" ht="18" customHeight="1" x14ac:dyDescent="0.45">
      <c r="A74" s="46" t="s">
        <v>178</v>
      </c>
      <c r="B74" s="47" t="s">
        <v>334</v>
      </c>
      <c r="C74" s="47" t="s">
        <v>255</v>
      </c>
      <c r="D74" s="47" t="s">
        <v>256</v>
      </c>
      <c r="E74" s="47">
        <v>35</v>
      </c>
      <c r="F74" s="47" t="s">
        <v>338</v>
      </c>
      <c r="G74" s="47">
        <v>19.399999999999999</v>
      </c>
      <c r="H74" s="47">
        <v>141.19999999999999</v>
      </c>
      <c r="I74" s="47">
        <v>146.19999999999999</v>
      </c>
      <c r="J74" s="47">
        <v>0.88800000000000001</v>
      </c>
      <c r="K74" s="47" t="s">
        <v>336</v>
      </c>
      <c r="L74" s="51"/>
      <c r="M74" s="51"/>
      <c r="N74" s="47" t="str">
        <f t="shared" si="2"/>
        <v>35|3C / Cu / XLPE / Armoured</v>
      </c>
      <c r="O74" s="49"/>
    </row>
    <row r="75" spans="1:15" ht="18" customHeight="1" x14ac:dyDescent="0.45">
      <c r="A75" s="46" t="s">
        <v>178</v>
      </c>
      <c r="B75" s="47" t="s">
        <v>334</v>
      </c>
      <c r="C75" s="47" t="s">
        <v>255</v>
      </c>
      <c r="D75" s="47" t="s">
        <v>260</v>
      </c>
      <c r="E75" s="47">
        <v>35</v>
      </c>
      <c r="F75" s="47" t="s">
        <v>339</v>
      </c>
      <c r="G75" s="47">
        <v>18.2</v>
      </c>
      <c r="H75" s="47">
        <v>141.19999999999999</v>
      </c>
      <c r="I75" s="47">
        <v>146.19999999999999</v>
      </c>
      <c r="J75" s="47">
        <v>0.88800000000000001</v>
      </c>
      <c r="K75" s="47" t="s">
        <v>336</v>
      </c>
      <c r="L75" s="51"/>
      <c r="M75" s="51"/>
      <c r="N75" s="47" t="str">
        <f t="shared" si="2"/>
        <v>35|3C / Cu / XLPE / Unarmoured</v>
      </c>
      <c r="O75" s="49"/>
    </row>
    <row r="76" spans="1:15" ht="18" customHeight="1" x14ac:dyDescent="0.45">
      <c r="A76" s="46" t="s">
        <v>178</v>
      </c>
      <c r="B76" s="47" t="s">
        <v>334</v>
      </c>
      <c r="C76" s="47" t="s">
        <v>255</v>
      </c>
      <c r="D76" s="47" t="s">
        <v>256</v>
      </c>
      <c r="E76" s="47">
        <v>50</v>
      </c>
      <c r="F76" s="47" t="s">
        <v>340</v>
      </c>
      <c r="G76" s="47">
        <v>22.4</v>
      </c>
      <c r="H76" s="47">
        <v>166.2</v>
      </c>
      <c r="I76" s="47">
        <v>177.5</v>
      </c>
      <c r="J76" s="47">
        <v>0.65600000000000003</v>
      </c>
      <c r="K76" s="47" t="s">
        <v>336</v>
      </c>
      <c r="L76" s="51"/>
      <c r="M76" s="51"/>
      <c r="N76" s="47" t="str">
        <f t="shared" si="2"/>
        <v>50|3C / Cu / XLPE / Armoured</v>
      </c>
      <c r="O76" s="49"/>
    </row>
    <row r="77" spans="1:15" ht="18" customHeight="1" x14ac:dyDescent="0.45">
      <c r="A77" s="46" t="s">
        <v>178</v>
      </c>
      <c r="B77" s="47" t="s">
        <v>334</v>
      </c>
      <c r="C77" s="47" t="s">
        <v>255</v>
      </c>
      <c r="D77" s="47" t="s">
        <v>260</v>
      </c>
      <c r="E77" s="47">
        <v>50</v>
      </c>
      <c r="F77" s="47" t="s">
        <v>341</v>
      </c>
      <c r="G77" s="47">
        <v>21.1</v>
      </c>
      <c r="H77" s="47">
        <v>166.2</v>
      </c>
      <c r="I77" s="47">
        <v>177.5</v>
      </c>
      <c r="J77" s="47">
        <v>0.65600000000000003</v>
      </c>
      <c r="K77" s="47" t="s">
        <v>336</v>
      </c>
      <c r="L77" s="51"/>
      <c r="M77" s="51"/>
      <c r="N77" s="47" t="str">
        <f t="shared" si="2"/>
        <v>50|3C / Cu / XLPE / Unarmoured</v>
      </c>
      <c r="O77" s="49"/>
    </row>
    <row r="78" spans="1:15" ht="18" customHeight="1" x14ac:dyDescent="0.45">
      <c r="A78" s="46" t="s">
        <v>178</v>
      </c>
      <c r="B78" s="47" t="s">
        <v>334</v>
      </c>
      <c r="C78" s="47" t="s">
        <v>255</v>
      </c>
      <c r="D78" s="47" t="s">
        <v>256</v>
      </c>
      <c r="E78" s="47">
        <v>70</v>
      </c>
      <c r="F78" s="47" t="s">
        <v>342</v>
      </c>
      <c r="G78" s="47">
        <v>25.5</v>
      </c>
      <c r="H78" s="47">
        <v>205</v>
      </c>
      <c r="I78" s="47">
        <v>223.8</v>
      </c>
      <c r="J78" s="47">
        <v>0.45400000000000001</v>
      </c>
      <c r="K78" s="47" t="s">
        <v>336</v>
      </c>
      <c r="L78" s="51"/>
      <c r="M78" s="51"/>
      <c r="N78" s="47" t="str">
        <f t="shared" si="2"/>
        <v>70|3C / Cu / XLPE / Armoured</v>
      </c>
      <c r="O78" s="49"/>
    </row>
    <row r="79" spans="1:15" ht="18" customHeight="1" x14ac:dyDescent="0.45">
      <c r="A79" s="46" t="s">
        <v>178</v>
      </c>
      <c r="B79" s="47" t="s">
        <v>334</v>
      </c>
      <c r="C79" s="47" t="s">
        <v>255</v>
      </c>
      <c r="D79" s="47" t="s">
        <v>260</v>
      </c>
      <c r="E79" s="47">
        <v>70</v>
      </c>
      <c r="F79" s="47" t="s">
        <v>343</v>
      </c>
      <c r="G79" s="47">
        <v>24</v>
      </c>
      <c r="H79" s="47">
        <v>205</v>
      </c>
      <c r="I79" s="47">
        <v>223.8</v>
      </c>
      <c r="J79" s="47">
        <v>0.45400000000000001</v>
      </c>
      <c r="K79" s="47" t="s">
        <v>336</v>
      </c>
      <c r="L79" s="51"/>
      <c r="M79" s="51"/>
      <c r="N79" s="47" t="str">
        <f t="shared" si="2"/>
        <v>70|3C / Cu / XLPE / Unarmoured</v>
      </c>
      <c r="O79" s="49"/>
    </row>
    <row r="80" spans="1:15" ht="18" customHeight="1" x14ac:dyDescent="0.45">
      <c r="A80" s="46" t="s">
        <v>178</v>
      </c>
      <c r="B80" s="47" t="s">
        <v>334</v>
      </c>
      <c r="C80" s="47" t="s">
        <v>255</v>
      </c>
      <c r="D80" s="47" t="s">
        <v>256</v>
      </c>
      <c r="E80" s="47">
        <v>95</v>
      </c>
      <c r="F80" s="47" t="s">
        <v>344</v>
      </c>
      <c r="G80" s="47">
        <v>28.6</v>
      </c>
      <c r="H80" s="47">
        <v>245</v>
      </c>
      <c r="I80" s="47">
        <v>276.2</v>
      </c>
      <c r="J80" s="47">
        <v>0.32800000000000001</v>
      </c>
      <c r="K80" s="47" t="s">
        <v>336</v>
      </c>
      <c r="L80" s="51"/>
      <c r="M80" s="51"/>
      <c r="N80" s="47" t="str">
        <f t="shared" si="2"/>
        <v>95|3C / Cu / XLPE / Armoured</v>
      </c>
      <c r="O80" s="49"/>
    </row>
    <row r="81" spans="1:15" ht="18" customHeight="1" x14ac:dyDescent="0.45">
      <c r="A81" s="46" t="s">
        <v>178</v>
      </c>
      <c r="B81" s="47" t="s">
        <v>334</v>
      </c>
      <c r="C81" s="47" t="s">
        <v>255</v>
      </c>
      <c r="D81" s="47" t="s">
        <v>260</v>
      </c>
      <c r="E81" s="47">
        <v>95</v>
      </c>
      <c r="F81" s="47" t="s">
        <v>345</v>
      </c>
      <c r="G81" s="47">
        <v>26.8</v>
      </c>
      <c r="H81" s="47">
        <v>245</v>
      </c>
      <c r="I81" s="47">
        <v>276.2</v>
      </c>
      <c r="J81" s="47">
        <v>0.32800000000000001</v>
      </c>
      <c r="K81" s="47" t="s">
        <v>336</v>
      </c>
      <c r="L81" s="51"/>
      <c r="M81" s="51"/>
      <c r="N81" s="47" t="str">
        <f t="shared" si="2"/>
        <v>95|3C / Cu / XLPE / Unarmoured</v>
      </c>
      <c r="O81" s="49"/>
    </row>
    <row r="82" spans="1:15" ht="18" customHeight="1" x14ac:dyDescent="0.45">
      <c r="A82" s="46" t="s">
        <v>178</v>
      </c>
      <c r="B82" s="47" t="s">
        <v>334</v>
      </c>
      <c r="C82" s="47" t="s">
        <v>255</v>
      </c>
      <c r="D82" s="47" t="s">
        <v>256</v>
      </c>
      <c r="E82" s="47">
        <v>120</v>
      </c>
      <c r="F82" s="47" t="s">
        <v>346</v>
      </c>
      <c r="G82" s="47">
        <v>31.6</v>
      </c>
      <c r="H82" s="47">
        <v>278.8</v>
      </c>
      <c r="I82" s="47">
        <v>321.2</v>
      </c>
      <c r="J82" s="47">
        <v>0.26</v>
      </c>
      <c r="K82" s="47" t="s">
        <v>336</v>
      </c>
      <c r="L82" s="51"/>
      <c r="M82" s="51"/>
      <c r="N82" s="47" t="str">
        <f t="shared" si="2"/>
        <v>120|3C / Cu / XLPE / Armoured</v>
      </c>
      <c r="O82" s="49"/>
    </row>
    <row r="83" spans="1:15" ht="18" customHeight="1" x14ac:dyDescent="0.45">
      <c r="A83" s="46" t="s">
        <v>178</v>
      </c>
      <c r="B83" s="47" t="s">
        <v>334</v>
      </c>
      <c r="C83" s="47" t="s">
        <v>255</v>
      </c>
      <c r="D83" s="47" t="s">
        <v>260</v>
      </c>
      <c r="E83" s="47">
        <v>120</v>
      </c>
      <c r="F83" s="47" t="s">
        <v>347</v>
      </c>
      <c r="G83" s="47">
        <v>29.7</v>
      </c>
      <c r="H83" s="47">
        <v>278.8</v>
      </c>
      <c r="I83" s="47">
        <v>321.2</v>
      </c>
      <c r="J83" s="47">
        <v>0.26</v>
      </c>
      <c r="K83" s="47" t="s">
        <v>336</v>
      </c>
      <c r="L83" s="51"/>
      <c r="M83" s="51"/>
      <c r="N83" s="47" t="str">
        <f t="shared" si="2"/>
        <v>120|3C / Cu / XLPE / Unarmoured</v>
      </c>
      <c r="O83" s="49"/>
    </row>
    <row r="84" spans="1:15" ht="18" customHeight="1" x14ac:dyDescent="0.45">
      <c r="A84" s="46" t="s">
        <v>178</v>
      </c>
      <c r="B84" s="47" t="s">
        <v>334</v>
      </c>
      <c r="C84" s="47" t="s">
        <v>255</v>
      </c>
      <c r="D84" s="47" t="s">
        <v>256</v>
      </c>
      <c r="E84" s="47">
        <v>150</v>
      </c>
      <c r="F84" s="47" t="s">
        <v>348</v>
      </c>
      <c r="G84" s="47">
        <v>34.700000000000003</v>
      </c>
      <c r="H84" s="47">
        <v>311.2</v>
      </c>
      <c r="I84" s="47">
        <v>365</v>
      </c>
      <c r="J84" s="47">
        <v>0.21199999999999999</v>
      </c>
      <c r="K84" s="47" t="s">
        <v>336</v>
      </c>
      <c r="L84" s="51"/>
      <c r="M84" s="51"/>
      <c r="N84" s="47" t="str">
        <f t="shared" si="2"/>
        <v>150|3C / Cu / XLPE / Armoured</v>
      </c>
      <c r="O84" s="49"/>
    </row>
    <row r="85" spans="1:15" ht="18" customHeight="1" x14ac:dyDescent="0.45">
      <c r="A85" s="46" t="s">
        <v>178</v>
      </c>
      <c r="B85" s="47" t="s">
        <v>334</v>
      </c>
      <c r="C85" s="47" t="s">
        <v>255</v>
      </c>
      <c r="D85" s="47" t="s">
        <v>260</v>
      </c>
      <c r="E85" s="47">
        <v>150</v>
      </c>
      <c r="F85" s="47" t="s">
        <v>349</v>
      </c>
      <c r="G85" s="47">
        <v>32.6</v>
      </c>
      <c r="H85" s="47">
        <v>311.2</v>
      </c>
      <c r="I85" s="47">
        <v>365</v>
      </c>
      <c r="J85" s="47">
        <v>0.21199999999999999</v>
      </c>
      <c r="K85" s="47" t="s">
        <v>336</v>
      </c>
      <c r="L85" s="51"/>
      <c r="M85" s="51"/>
      <c r="N85" s="47" t="str">
        <f t="shared" si="2"/>
        <v>150|3C / Cu / XLPE / Unarmoured</v>
      </c>
      <c r="O85" s="49"/>
    </row>
    <row r="86" spans="1:15" ht="18" customHeight="1" x14ac:dyDescent="0.45">
      <c r="A86" s="46" t="s">
        <v>178</v>
      </c>
      <c r="B86" s="47" t="s">
        <v>334</v>
      </c>
      <c r="C86" s="47" t="s">
        <v>255</v>
      </c>
      <c r="D86" s="47" t="s">
        <v>256</v>
      </c>
      <c r="E86" s="47">
        <v>185</v>
      </c>
      <c r="F86" s="47" t="s">
        <v>350</v>
      </c>
      <c r="G86" s="47">
        <v>38.799999999999997</v>
      </c>
      <c r="H86" s="47">
        <v>352.5</v>
      </c>
      <c r="I86" s="47">
        <v>421.2</v>
      </c>
      <c r="J86" s="47">
        <v>0.16900000000000001</v>
      </c>
      <c r="K86" s="47" t="s">
        <v>336</v>
      </c>
      <c r="L86" s="51"/>
      <c r="M86" s="51"/>
      <c r="N86" s="47" t="str">
        <f t="shared" si="2"/>
        <v>185|3C / Cu / XLPE / Armoured</v>
      </c>
      <c r="O86" s="49"/>
    </row>
    <row r="87" spans="1:15" ht="18" customHeight="1" x14ac:dyDescent="0.45">
      <c r="A87" s="46" t="s">
        <v>178</v>
      </c>
      <c r="B87" s="47" t="s">
        <v>334</v>
      </c>
      <c r="C87" s="47" t="s">
        <v>255</v>
      </c>
      <c r="D87" s="47" t="s">
        <v>260</v>
      </c>
      <c r="E87" s="47">
        <v>185</v>
      </c>
      <c r="F87" s="47" t="s">
        <v>351</v>
      </c>
      <c r="G87" s="47">
        <v>36.4</v>
      </c>
      <c r="H87" s="47">
        <v>352.5</v>
      </c>
      <c r="I87" s="47">
        <v>421.2</v>
      </c>
      <c r="J87" s="47">
        <v>0.16900000000000001</v>
      </c>
      <c r="K87" s="47" t="s">
        <v>336</v>
      </c>
      <c r="L87" s="51"/>
      <c r="M87" s="51"/>
      <c r="N87" s="47" t="str">
        <f t="shared" si="2"/>
        <v>185|3C / Cu / XLPE / Unarmoured</v>
      </c>
      <c r="O87" s="49"/>
    </row>
    <row r="88" spans="1:15" ht="18" customHeight="1" x14ac:dyDescent="0.45">
      <c r="A88" s="46" t="s">
        <v>178</v>
      </c>
      <c r="B88" s="47" t="s">
        <v>334</v>
      </c>
      <c r="C88" s="47" t="s">
        <v>255</v>
      </c>
      <c r="D88" s="47" t="s">
        <v>256</v>
      </c>
      <c r="E88" s="47">
        <v>240</v>
      </c>
      <c r="F88" s="47" t="s">
        <v>352</v>
      </c>
      <c r="G88" s="47">
        <v>43.9</v>
      </c>
      <c r="H88" s="47">
        <v>407.5</v>
      </c>
      <c r="I88" s="47">
        <v>498.8</v>
      </c>
      <c r="J88" s="47">
        <v>0.13</v>
      </c>
      <c r="K88" s="47" t="s">
        <v>336</v>
      </c>
      <c r="L88" s="51"/>
      <c r="M88" s="51"/>
      <c r="N88" s="47" t="str">
        <f t="shared" si="2"/>
        <v>240|3C / Cu / XLPE / Armoured</v>
      </c>
      <c r="O88" s="49"/>
    </row>
    <row r="89" spans="1:15" ht="18" customHeight="1" x14ac:dyDescent="0.45">
      <c r="A89" s="46" t="s">
        <v>178</v>
      </c>
      <c r="B89" s="47" t="s">
        <v>334</v>
      </c>
      <c r="C89" s="47" t="s">
        <v>255</v>
      </c>
      <c r="D89" s="47" t="s">
        <v>260</v>
      </c>
      <c r="E89" s="47">
        <v>240</v>
      </c>
      <c r="F89" s="47" t="s">
        <v>353</v>
      </c>
      <c r="G89" s="47">
        <v>41.2</v>
      </c>
      <c r="H89" s="47">
        <v>407.5</v>
      </c>
      <c r="I89" s="47">
        <v>498.8</v>
      </c>
      <c r="J89" s="47">
        <v>0.13</v>
      </c>
      <c r="K89" s="47" t="s">
        <v>336</v>
      </c>
      <c r="L89" s="51"/>
      <c r="M89" s="51"/>
      <c r="N89" s="47" t="str">
        <f t="shared" si="2"/>
        <v>240|3C / Cu / XLPE / Unarmoured</v>
      </c>
      <c r="O89" s="49"/>
    </row>
    <row r="90" spans="1:15" ht="18" customHeight="1" x14ac:dyDescent="0.45">
      <c r="A90" s="46" t="s">
        <v>178</v>
      </c>
      <c r="B90" s="47" t="s">
        <v>334</v>
      </c>
      <c r="C90" s="47" t="s">
        <v>255</v>
      </c>
      <c r="D90" s="47" t="s">
        <v>256</v>
      </c>
      <c r="E90" s="47">
        <v>300</v>
      </c>
      <c r="F90" s="47" t="s">
        <v>354</v>
      </c>
      <c r="G90" s="47">
        <v>49</v>
      </c>
      <c r="H90" s="47">
        <v>458.8</v>
      </c>
      <c r="I90" s="47">
        <v>568.79999999999995</v>
      </c>
      <c r="J90" s="47">
        <v>0.104</v>
      </c>
      <c r="K90" s="47" t="s">
        <v>336</v>
      </c>
      <c r="L90" s="51"/>
      <c r="M90" s="51"/>
      <c r="N90" s="47" t="str">
        <f t="shared" si="2"/>
        <v>300|3C / Cu / XLPE / Armoured</v>
      </c>
      <c r="O90" s="49"/>
    </row>
    <row r="91" spans="1:15" ht="18" customHeight="1" x14ac:dyDescent="0.45">
      <c r="A91" s="46" t="s">
        <v>178</v>
      </c>
      <c r="B91" s="47" t="s">
        <v>334</v>
      </c>
      <c r="C91" s="47" t="s">
        <v>255</v>
      </c>
      <c r="D91" s="47" t="s">
        <v>260</v>
      </c>
      <c r="E91" s="47">
        <v>300</v>
      </c>
      <c r="F91" s="47" t="s">
        <v>355</v>
      </c>
      <c r="G91" s="47">
        <v>46</v>
      </c>
      <c r="H91" s="47">
        <v>458.8</v>
      </c>
      <c r="I91" s="47">
        <v>568.79999999999995</v>
      </c>
      <c r="J91" s="47">
        <v>0.104</v>
      </c>
      <c r="K91" s="47" t="s">
        <v>336</v>
      </c>
      <c r="L91" s="51"/>
      <c r="M91" s="51"/>
      <c r="N91" s="47" t="str">
        <f t="shared" si="2"/>
        <v>300|3C / Cu / XLPE / Unarmoured</v>
      </c>
      <c r="O91" s="49"/>
    </row>
    <row r="92" spans="1:15" ht="18" customHeight="1" x14ac:dyDescent="0.45">
      <c r="A92" s="46" t="s">
        <v>178</v>
      </c>
      <c r="B92" s="47" t="s">
        <v>334</v>
      </c>
      <c r="C92" s="47" t="s">
        <v>255</v>
      </c>
      <c r="D92" s="47" t="s">
        <v>256</v>
      </c>
      <c r="E92" s="47">
        <v>400</v>
      </c>
      <c r="F92" s="47" t="s">
        <v>356</v>
      </c>
      <c r="G92" s="47">
        <v>55.1</v>
      </c>
      <c r="H92" s="47">
        <v>522.5</v>
      </c>
      <c r="I92" s="47">
        <v>662.5</v>
      </c>
      <c r="J92" s="47">
        <v>8.2000000000000003E-2</v>
      </c>
      <c r="K92" s="47" t="s">
        <v>336</v>
      </c>
      <c r="L92" s="51"/>
      <c r="M92" s="51"/>
      <c r="N92" s="47" t="str">
        <f t="shared" si="2"/>
        <v>400|3C / Cu / XLPE / Armoured</v>
      </c>
      <c r="O92" s="49"/>
    </row>
    <row r="93" spans="1:15" ht="18" customHeight="1" x14ac:dyDescent="0.45">
      <c r="A93" s="46" t="s">
        <v>178</v>
      </c>
      <c r="B93" s="47" t="s">
        <v>334</v>
      </c>
      <c r="C93" s="47" t="s">
        <v>255</v>
      </c>
      <c r="D93" s="47" t="s">
        <v>260</v>
      </c>
      <c r="E93" s="47">
        <v>400</v>
      </c>
      <c r="F93" s="47" t="s">
        <v>357</v>
      </c>
      <c r="G93" s="47">
        <v>51.8</v>
      </c>
      <c r="H93" s="47">
        <v>522.5</v>
      </c>
      <c r="I93" s="47">
        <v>662.5</v>
      </c>
      <c r="J93" s="47">
        <v>8.2000000000000003E-2</v>
      </c>
      <c r="K93" s="47" t="s">
        <v>336</v>
      </c>
      <c r="L93" s="51"/>
      <c r="M93" s="51"/>
      <c r="N93" s="47" t="str">
        <f t="shared" si="2"/>
        <v>400|3C / Cu / XLPE / Unarmoured</v>
      </c>
      <c r="O93" s="49"/>
    </row>
    <row r="94" spans="1:15" ht="18" customHeight="1" x14ac:dyDescent="0.45">
      <c r="A94" s="46" t="s">
        <v>282</v>
      </c>
      <c r="B94" s="47" t="s">
        <v>334</v>
      </c>
      <c r="C94" s="47" t="s">
        <v>255</v>
      </c>
      <c r="D94" s="47" t="s">
        <v>256</v>
      </c>
      <c r="E94" s="47">
        <v>16</v>
      </c>
      <c r="F94" s="47" t="s">
        <v>358</v>
      </c>
      <c r="G94" s="47">
        <v>16.2</v>
      </c>
      <c r="H94" s="47">
        <v>91.2</v>
      </c>
      <c r="I94" s="47">
        <v>91.2</v>
      </c>
      <c r="J94" s="47">
        <v>3.3919999999999999</v>
      </c>
      <c r="K94" s="47" t="s">
        <v>336</v>
      </c>
      <c r="L94" s="51"/>
      <c r="M94" s="51"/>
      <c r="N94" s="47" t="str">
        <f t="shared" si="2"/>
        <v>16|3.5C / Cu / XLPE / Armoured</v>
      </c>
      <c r="O94" s="49"/>
    </row>
    <row r="95" spans="1:15" ht="18" customHeight="1" x14ac:dyDescent="0.45">
      <c r="A95" s="46" t="s">
        <v>282</v>
      </c>
      <c r="B95" s="47" t="s">
        <v>334</v>
      </c>
      <c r="C95" s="47" t="s">
        <v>255</v>
      </c>
      <c r="D95" s="47" t="s">
        <v>260</v>
      </c>
      <c r="E95" s="47">
        <v>16</v>
      </c>
      <c r="F95" s="47" t="s">
        <v>359</v>
      </c>
      <c r="G95" s="47">
        <v>15.2</v>
      </c>
      <c r="H95" s="47">
        <v>91.2</v>
      </c>
      <c r="I95" s="47">
        <v>91.2</v>
      </c>
      <c r="J95" s="47">
        <v>3.3919999999999999</v>
      </c>
      <c r="K95" s="47" t="s">
        <v>336</v>
      </c>
      <c r="L95" s="51"/>
      <c r="M95" s="51"/>
      <c r="N95" s="47" t="str">
        <f t="shared" si="2"/>
        <v>16|3.5C / Cu / XLPE / Unarmoured</v>
      </c>
      <c r="O95" s="49"/>
    </row>
    <row r="96" spans="1:15" ht="18" customHeight="1" x14ac:dyDescent="0.45">
      <c r="A96" s="46" t="s">
        <v>282</v>
      </c>
      <c r="B96" s="47" t="s">
        <v>334</v>
      </c>
      <c r="C96" s="47" t="s">
        <v>255</v>
      </c>
      <c r="D96" s="47" t="s">
        <v>256</v>
      </c>
      <c r="E96" s="47">
        <v>25</v>
      </c>
      <c r="F96" s="47" t="s">
        <v>360</v>
      </c>
      <c r="G96" s="47">
        <v>18.899999999999999</v>
      </c>
      <c r="H96" s="47">
        <v>118.8</v>
      </c>
      <c r="I96" s="47">
        <v>118.8</v>
      </c>
      <c r="J96" s="47">
        <v>2.1360000000000001</v>
      </c>
      <c r="K96" s="47" t="s">
        <v>336</v>
      </c>
      <c r="L96" s="51"/>
      <c r="M96" s="51"/>
      <c r="N96" s="47" t="str">
        <f t="shared" si="2"/>
        <v>25|3.5C / Cu / XLPE / Armoured</v>
      </c>
      <c r="O96" s="49"/>
    </row>
    <row r="97" spans="1:15" ht="18" customHeight="1" x14ac:dyDescent="0.45">
      <c r="A97" s="46" t="s">
        <v>282</v>
      </c>
      <c r="B97" s="47" t="s">
        <v>334</v>
      </c>
      <c r="C97" s="47" t="s">
        <v>255</v>
      </c>
      <c r="D97" s="47" t="s">
        <v>260</v>
      </c>
      <c r="E97" s="47">
        <v>25</v>
      </c>
      <c r="F97" s="47" t="s">
        <v>361</v>
      </c>
      <c r="G97" s="47">
        <v>17.8</v>
      </c>
      <c r="H97" s="47">
        <v>118.8</v>
      </c>
      <c r="I97" s="47">
        <v>118.8</v>
      </c>
      <c r="J97" s="47">
        <v>2.1360000000000001</v>
      </c>
      <c r="K97" s="47" t="s">
        <v>336</v>
      </c>
      <c r="L97" s="51"/>
      <c r="M97" s="51"/>
      <c r="N97" s="47" t="str">
        <f t="shared" si="2"/>
        <v>25|3.5C / Cu / XLPE / Unarmoured</v>
      </c>
      <c r="O97" s="49"/>
    </row>
    <row r="98" spans="1:15" ht="18" customHeight="1" x14ac:dyDescent="0.45">
      <c r="A98" s="46" t="s">
        <v>282</v>
      </c>
      <c r="B98" s="47" t="s">
        <v>334</v>
      </c>
      <c r="C98" s="47" t="s">
        <v>255</v>
      </c>
      <c r="D98" s="47" t="s">
        <v>256</v>
      </c>
      <c r="E98" s="47">
        <v>35</v>
      </c>
      <c r="F98" s="47" t="s">
        <v>362</v>
      </c>
      <c r="G98" s="47">
        <v>20.5</v>
      </c>
      <c r="H98" s="47">
        <v>142.5</v>
      </c>
      <c r="I98" s="47">
        <v>142.5</v>
      </c>
      <c r="J98" s="47">
        <v>1.552</v>
      </c>
      <c r="K98" s="47" t="s">
        <v>336</v>
      </c>
      <c r="L98" s="51"/>
      <c r="M98" s="51"/>
      <c r="N98" s="47" t="str">
        <f t="shared" ref="N98:N129" si="3">E98&amp;"|"&amp;A98&amp;" / "&amp;B98&amp;" / "&amp;C98&amp;" / "&amp;D98</f>
        <v>35|3.5C / Cu / XLPE / Armoured</v>
      </c>
      <c r="O98" s="49"/>
    </row>
    <row r="99" spans="1:15" ht="18" customHeight="1" x14ac:dyDescent="0.45">
      <c r="A99" s="46" t="s">
        <v>282</v>
      </c>
      <c r="B99" s="47" t="s">
        <v>334</v>
      </c>
      <c r="C99" s="47" t="s">
        <v>255</v>
      </c>
      <c r="D99" s="47" t="s">
        <v>260</v>
      </c>
      <c r="E99" s="47">
        <v>35</v>
      </c>
      <c r="F99" s="47" t="s">
        <v>363</v>
      </c>
      <c r="G99" s="47">
        <v>19.3</v>
      </c>
      <c r="H99" s="47">
        <v>142.5</v>
      </c>
      <c r="I99" s="47">
        <v>142.5</v>
      </c>
      <c r="J99" s="47">
        <v>1.552</v>
      </c>
      <c r="K99" s="47" t="s">
        <v>336</v>
      </c>
      <c r="L99" s="51"/>
      <c r="M99" s="51"/>
      <c r="N99" s="47" t="str">
        <f t="shared" si="3"/>
        <v>35|3.5C / Cu / XLPE / Unarmoured</v>
      </c>
      <c r="O99" s="49"/>
    </row>
    <row r="100" spans="1:15" ht="18" customHeight="1" x14ac:dyDescent="0.45">
      <c r="A100" s="46" t="s">
        <v>282</v>
      </c>
      <c r="B100" s="47" t="s">
        <v>334</v>
      </c>
      <c r="C100" s="47" t="s">
        <v>255</v>
      </c>
      <c r="D100" s="47" t="s">
        <v>256</v>
      </c>
      <c r="E100" s="47">
        <v>50</v>
      </c>
      <c r="F100" s="47" t="s">
        <v>364</v>
      </c>
      <c r="G100" s="47">
        <v>23.8</v>
      </c>
      <c r="H100" s="47">
        <v>167.5</v>
      </c>
      <c r="I100" s="47">
        <v>172.5</v>
      </c>
      <c r="J100" s="47">
        <v>1.1519999999999999</v>
      </c>
      <c r="K100" s="47" t="s">
        <v>336</v>
      </c>
      <c r="L100" s="51"/>
      <c r="M100" s="51"/>
      <c r="N100" s="47" t="str">
        <f t="shared" si="3"/>
        <v>50|3.5C / Cu / XLPE / Armoured</v>
      </c>
      <c r="O100" s="49"/>
    </row>
    <row r="101" spans="1:15" ht="18" customHeight="1" x14ac:dyDescent="0.45">
      <c r="A101" s="46" t="s">
        <v>282</v>
      </c>
      <c r="B101" s="47" t="s">
        <v>334</v>
      </c>
      <c r="C101" s="47" t="s">
        <v>255</v>
      </c>
      <c r="D101" s="47" t="s">
        <v>260</v>
      </c>
      <c r="E101" s="47">
        <v>50</v>
      </c>
      <c r="F101" s="47" t="s">
        <v>365</v>
      </c>
      <c r="G101" s="47">
        <v>22.4</v>
      </c>
      <c r="H101" s="47">
        <v>167.5</v>
      </c>
      <c r="I101" s="47">
        <v>172.5</v>
      </c>
      <c r="J101" s="47">
        <v>1.1519999999999999</v>
      </c>
      <c r="K101" s="47" t="s">
        <v>336</v>
      </c>
      <c r="L101" s="51"/>
      <c r="M101" s="51"/>
      <c r="N101" s="47" t="str">
        <f t="shared" si="3"/>
        <v>50|3.5C / Cu / XLPE / Unarmoured</v>
      </c>
      <c r="O101" s="49"/>
    </row>
    <row r="102" spans="1:15" ht="18" customHeight="1" x14ac:dyDescent="0.45">
      <c r="A102" s="46" t="s">
        <v>282</v>
      </c>
      <c r="B102" s="47" t="s">
        <v>334</v>
      </c>
      <c r="C102" s="47" t="s">
        <v>255</v>
      </c>
      <c r="D102" s="47" t="s">
        <v>256</v>
      </c>
      <c r="E102" s="47">
        <v>70</v>
      </c>
      <c r="F102" s="47" t="s">
        <v>366</v>
      </c>
      <c r="G102" s="47">
        <v>27</v>
      </c>
      <c r="H102" s="47">
        <v>205</v>
      </c>
      <c r="I102" s="47">
        <v>218.8</v>
      </c>
      <c r="J102" s="47">
        <v>0.8</v>
      </c>
      <c r="K102" s="47" t="s">
        <v>336</v>
      </c>
      <c r="L102" s="51"/>
      <c r="M102" s="51"/>
      <c r="N102" s="47" t="str">
        <f t="shared" si="3"/>
        <v>70|3.5C / Cu / XLPE / Armoured</v>
      </c>
      <c r="O102" s="49"/>
    </row>
    <row r="103" spans="1:15" ht="18" customHeight="1" x14ac:dyDescent="0.45">
      <c r="A103" s="46" t="s">
        <v>282</v>
      </c>
      <c r="B103" s="47" t="s">
        <v>334</v>
      </c>
      <c r="C103" s="47" t="s">
        <v>255</v>
      </c>
      <c r="D103" s="47" t="s">
        <v>260</v>
      </c>
      <c r="E103" s="47">
        <v>70</v>
      </c>
      <c r="F103" s="47" t="s">
        <v>367</v>
      </c>
      <c r="G103" s="47">
        <v>25.4</v>
      </c>
      <c r="H103" s="47">
        <v>205</v>
      </c>
      <c r="I103" s="47">
        <v>218.8</v>
      </c>
      <c r="J103" s="47">
        <v>0.8</v>
      </c>
      <c r="K103" s="47" t="s">
        <v>336</v>
      </c>
      <c r="L103" s="51"/>
      <c r="M103" s="51"/>
      <c r="N103" s="47" t="str">
        <f t="shared" si="3"/>
        <v>70|3.5C / Cu / XLPE / Unarmoured</v>
      </c>
      <c r="O103" s="49"/>
    </row>
    <row r="104" spans="1:15" ht="18" customHeight="1" x14ac:dyDescent="0.45">
      <c r="A104" s="46" t="s">
        <v>282</v>
      </c>
      <c r="B104" s="47" t="s">
        <v>334</v>
      </c>
      <c r="C104" s="47" t="s">
        <v>255</v>
      </c>
      <c r="D104" s="47" t="s">
        <v>256</v>
      </c>
      <c r="E104" s="47">
        <v>95</v>
      </c>
      <c r="F104" s="47" t="s">
        <v>368</v>
      </c>
      <c r="G104" s="47">
        <v>30.3</v>
      </c>
      <c r="H104" s="47">
        <v>246.2</v>
      </c>
      <c r="I104" s="47">
        <v>270</v>
      </c>
      <c r="J104" s="47">
        <v>0.56000000000000005</v>
      </c>
      <c r="K104" s="47" t="s">
        <v>336</v>
      </c>
      <c r="L104" s="51"/>
      <c r="M104" s="51"/>
      <c r="N104" s="47" t="str">
        <f t="shared" si="3"/>
        <v>95|3.5C / Cu / XLPE / Armoured</v>
      </c>
      <c r="O104" s="49"/>
    </row>
    <row r="105" spans="1:15" ht="18" customHeight="1" x14ac:dyDescent="0.45">
      <c r="A105" s="46" t="s">
        <v>282</v>
      </c>
      <c r="B105" s="47" t="s">
        <v>334</v>
      </c>
      <c r="C105" s="47" t="s">
        <v>255</v>
      </c>
      <c r="D105" s="47" t="s">
        <v>260</v>
      </c>
      <c r="E105" s="47">
        <v>95</v>
      </c>
      <c r="F105" s="47" t="s">
        <v>369</v>
      </c>
      <c r="G105" s="47">
        <v>28.5</v>
      </c>
      <c r="H105" s="47">
        <v>246.2</v>
      </c>
      <c r="I105" s="47">
        <v>270</v>
      </c>
      <c r="J105" s="47">
        <v>0.56000000000000005</v>
      </c>
      <c r="K105" s="47" t="s">
        <v>336</v>
      </c>
      <c r="L105" s="51"/>
      <c r="M105" s="51"/>
      <c r="N105" s="47" t="str">
        <f t="shared" si="3"/>
        <v>95|3.5C / Cu / XLPE / Unarmoured</v>
      </c>
      <c r="O105" s="49"/>
    </row>
    <row r="106" spans="1:15" ht="18" customHeight="1" x14ac:dyDescent="0.45">
      <c r="A106" s="46" t="s">
        <v>282</v>
      </c>
      <c r="B106" s="47" t="s">
        <v>334</v>
      </c>
      <c r="C106" s="47" t="s">
        <v>255</v>
      </c>
      <c r="D106" s="47" t="s">
        <v>256</v>
      </c>
      <c r="E106" s="47">
        <v>120</v>
      </c>
      <c r="F106" s="47" t="s">
        <v>370</v>
      </c>
      <c r="G106" s="47">
        <v>33.5</v>
      </c>
      <c r="H106" s="47">
        <v>278.8</v>
      </c>
      <c r="I106" s="47">
        <v>311.2</v>
      </c>
      <c r="J106" s="47">
        <v>0.44800000000000001</v>
      </c>
      <c r="K106" s="47" t="s">
        <v>336</v>
      </c>
      <c r="L106" s="51"/>
      <c r="M106" s="51"/>
      <c r="N106" s="47" t="str">
        <f t="shared" si="3"/>
        <v>120|3.5C / Cu / XLPE / Armoured</v>
      </c>
      <c r="O106" s="49"/>
    </row>
    <row r="107" spans="1:15" ht="18" customHeight="1" x14ac:dyDescent="0.45">
      <c r="A107" s="46" t="s">
        <v>282</v>
      </c>
      <c r="B107" s="47" t="s">
        <v>334</v>
      </c>
      <c r="C107" s="47" t="s">
        <v>255</v>
      </c>
      <c r="D107" s="47" t="s">
        <v>260</v>
      </c>
      <c r="E107" s="47">
        <v>120</v>
      </c>
      <c r="F107" s="47" t="s">
        <v>371</v>
      </c>
      <c r="G107" s="47">
        <v>31.5</v>
      </c>
      <c r="H107" s="47">
        <v>278.8</v>
      </c>
      <c r="I107" s="47">
        <v>311.2</v>
      </c>
      <c r="J107" s="47">
        <v>0.44800000000000001</v>
      </c>
      <c r="K107" s="47" t="s">
        <v>336</v>
      </c>
      <c r="L107" s="51"/>
      <c r="M107" s="51"/>
      <c r="N107" s="47" t="str">
        <f t="shared" si="3"/>
        <v>120|3.5C / Cu / XLPE / Unarmoured</v>
      </c>
      <c r="O107" s="49"/>
    </row>
    <row r="108" spans="1:15" ht="18" customHeight="1" x14ac:dyDescent="0.45">
      <c r="A108" s="46" t="s">
        <v>282</v>
      </c>
      <c r="B108" s="47" t="s">
        <v>334</v>
      </c>
      <c r="C108" s="47" t="s">
        <v>255</v>
      </c>
      <c r="D108" s="47" t="s">
        <v>256</v>
      </c>
      <c r="E108" s="47">
        <v>150</v>
      </c>
      <c r="F108" s="47" t="s">
        <v>372</v>
      </c>
      <c r="G108" s="47">
        <v>36.799999999999997</v>
      </c>
      <c r="H108" s="47">
        <v>311.2</v>
      </c>
      <c r="I108" s="47">
        <v>355</v>
      </c>
      <c r="J108" s="47">
        <v>0.38400000000000001</v>
      </c>
      <c r="K108" s="47" t="s">
        <v>336</v>
      </c>
      <c r="L108" s="51"/>
      <c r="M108" s="51"/>
      <c r="N108" s="47" t="str">
        <f t="shared" si="3"/>
        <v>150|3.5C / Cu / XLPE / Armoured</v>
      </c>
      <c r="O108" s="49"/>
    </row>
    <row r="109" spans="1:15" ht="18" customHeight="1" x14ac:dyDescent="0.45">
      <c r="A109" s="46" t="s">
        <v>282</v>
      </c>
      <c r="B109" s="47" t="s">
        <v>334</v>
      </c>
      <c r="C109" s="47" t="s">
        <v>255</v>
      </c>
      <c r="D109" s="47" t="s">
        <v>260</v>
      </c>
      <c r="E109" s="47">
        <v>150</v>
      </c>
      <c r="F109" s="47" t="s">
        <v>373</v>
      </c>
      <c r="G109" s="47">
        <v>34.6</v>
      </c>
      <c r="H109" s="47">
        <v>311.2</v>
      </c>
      <c r="I109" s="47">
        <v>355</v>
      </c>
      <c r="J109" s="47">
        <v>0.38400000000000001</v>
      </c>
      <c r="K109" s="47" t="s">
        <v>336</v>
      </c>
      <c r="L109" s="51"/>
      <c r="M109" s="51"/>
      <c r="N109" s="47" t="str">
        <f t="shared" si="3"/>
        <v>150|3.5C / Cu / XLPE / Unarmoured</v>
      </c>
      <c r="O109" s="49"/>
    </row>
    <row r="110" spans="1:15" ht="18" customHeight="1" x14ac:dyDescent="0.45">
      <c r="A110" s="46" t="s">
        <v>282</v>
      </c>
      <c r="B110" s="47" t="s">
        <v>334</v>
      </c>
      <c r="C110" s="47" t="s">
        <v>255</v>
      </c>
      <c r="D110" s="47" t="s">
        <v>256</v>
      </c>
      <c r="E110" s="47">
        <v>185</v>
      </c>
      <c r="F110" s="47" t="s">
        <v>374</v>
      </c>
      <c r="G110" s="47">
        <v>41.1</v>
      </c>
      <c r="H110" s="47">
        <v>352.5</v>
      </c>
      <c r="I110" s="47">
        <v>411.2</v>
      </c>
      <c r="J110" s="47">
        <v>0.32</v>
      </c>
      <c r="K110" s="47" t="s">
        <v>336</v>
      </c>
      <c r="L110" s="51"/>
      <c r="M110" s="51"/>
      <c r="N110" s="47" t="str">
        <f t="shared" si="3"/>
        <v>185|3.5C / Cu / XLPE / Armoured</v>
      </c>
      <c r="O110" s="49"/>
    </row>
    <row r="111" spans="1:15" ht="18" customHeight="1" x14ac:dyDescent="0.45">
      <c r="A111" s="46" t="s">
        <v>282</v>
      </c>
      <c r="B111" s="47" t="s">
        <v>334</v>
      </c>
      <c r="C111" s="47" t="s">
        <v>255</v>
      </c>
      <c r="D111" s="47" t="s">
        <v>260</v>
      </c>
      <c r="E111" s="47">
        <v>185</v>
      </c>
      <c r="F111" s="47" t="s">
        <v>375</v>
      </c>
      <c r="G111" s="47">
        <v>38.6</v>
      </c>
      <c r="H111" s="47">
        <v>352.5</v>
      </c>
      <c r="I111" s="47">
        <v>411.2</v>
      </c>
      <c r="J111" s="47">
        <v>0.32</v>
      </c>
      <c r="K111" s="47" t="s">
        <v>336</v>
      </c>
      <c r="L111" s="51"/>
      <c r="M111" s="51"/>
      <c r="N111" s="47" t="str">
        <f t="shared" si="3"/>
        <v>185|3.5C / Cu / XLPE / Unarmoured</v>
      </c>
      <c r="O111" s="49"/>
    </row>
    <row r="112" spans="1:15" ht="18" customHeight="1" x14ac:dyDescent="0.45">
      <c r="A112" s="46" t="s">
        <v>282</v>
      </c>
      <c r="B112" s="47" t="s">
        <v>334</v>
      </c>
      <c r="C112" s="47" t="s">
        <v>255</v>
      </c>
      <c r="D112" s="47" t="s">
        <v>256</v>
      </c>
      <c r="E112" s="47">
        <v>240</v>
      </c>
      <c r="F112" s="47" t="s">
        <v>376</v>
      </c>
      <c r="G112" s="47">
        <v>46.5</v>
      </c>
      <c r="H112" s="47">
        <v>408.8</v>
      </c>
      <c r="I112" s="47">
        <v>490</v>
      </c>
      <c r="J112" s="47">
        <v>0.24</v>
      </c>
      <c r="K112" s="47" t="s">
        <v>336</v>
      </c>
      <c r="L112" s="51"/>
      <c r="M112" s="51"/>
      <c r="N112" s="47" t="str">
        <f t="shared" si="3"/>
        <v>240|3.5C / Cu / XLPE / Armoured</v>
      </c>
      <c r="O112" s="49"/>
    </row>
    <row r="113" spans="1:15" ht="18" customHeight="1" x14ac:dyDescent="0.45">
      <c r="A113" s="46" t="s">
        <v>282</v>
      </c>
      <c r="B113" s="47" t="s">
        <v>334</v>
      </c>
      <c r="C113" s="47" t="s">
        <v>255</v>
      </c>
      <c r="D113" s="47" t="s">
        <v>260</v>
      </c>
      <c r="E113" s="47">
        <v>240</v>
      </c>
      <c r="F113" s="47" t="s">
        <v>377</v>
      </c>
      <c r="G113" s="47">
        <v>43.7</v>
      </c>
      <c r="H113" s="47">
        <v>408.8</v>
      </c>
      <c r="I113" s="47">
        <v>490</v>
      </c>
      <c r="J113" s="47">
        <v>0.24</v>
      </c>
      <c r="K113" s="47" t="s">
        <v>336</v>
      </c>
      <c r="L113" s="51"/>
      <c r="M113" s="51"/>
      <c r="N113" s="47" t="str">
        <f t="shared" si="3"/>
        <v>240|3.5C / Cu / XLPE / Unarmoured</v>
      </c>
      <c r="O113" s="49"/>
    </row>
    <row r="114" spans="1:15" ht="18" customHeight="1" x14ac:dyDescent="0.45">
      <c r="A114" s="46" t="s">
        <v>282</v>
      </c>
      <c r="B114" s="47" t="s">
        <v>334</v>
      </c>
      <c r="C114" s="47" t="s">
        <v>255</v>
      </c>
      <c r="D114" s="47" t="s">
        <v>256</v>
      </c>
      <c r="E114" s="47">
        <v>300</v>
      </c>
      <c r="F114" s="47" t="s">
        <v>378</v>
      </c>
      <c r="G114" s="47">
        <v>51.9</v>
      </c>
      <c r="H114" s="47">
        <v>461.2</v>
      </c>
      <c r="I114" s="47">
        <v>565</v>
      </c>
      <c r="J114" s="47">
        <v>0.20799999999999999</v>
      </c>
      <c r="K114" s="47" t="s">
        <v>336</v>
      </c>
      <c r="L114" s="51"/>
      <c r="M114" s="51"/>
      <c r="N114" s="47" t="str">
        <f t="shared" si="3"/>
        <v>300|3.5C / Cu / XLPE / Armoured</v>
      </c>
      <c r="O114" s="49"/>
    </row>
    <row r="115" spans="1:15" ht="18" customHeight="1" x14ac:dyDescent="0.45">
      <c r="A115" s="46" t="s">
        <v>282</v>
      </c>
      <c r="B115" s="47" t="s">
        <v>334</v>
      </c>
      <c r="C115" s="47" t="s">
        <v>255</v>
      </c>
      <c r="D115" s="47" t="s">
        <v>260</v>
      </c>
      <c r="E115" s="47">
        <v>300</v>
      </c>
      <c r="F115" s="47" t="s">
        <v>379</v>
      </c>
      <c r="G115" s="47">
        <v>48.8</v>
      </c>
      <c r="H115" s="47">
        <v>461.2</v>
      </c>
      <c r="I115" s="47">
        <v>565</v>
      </c>
      <c r="J115" s="47">
        <v>0.20799999999999999</v>
      </c>
      <c r="K115" s="47" t="s">
        <v>336</v>
      </c>
      <c r="L115" s="51"/>
      <c r="M115" s="51"/>
      <c r="N115" s="47" t="str">
        <f t="shared" si="3"/>
        <v>300|3.5C / Cu / XLPE / Unarmoured</v>
      </c>
      <c r="O115" s="49"/>
    </row>
    <row r="116" spans="1:15" ht="18" customHeight="1" x14ac:dyDescent="0.45">
      <c r="A116" s="46" t="s">
        <v>282</v>
      </c>
      <c r="B116" s="47" t="s">
        <v>334</v>
      </c>
      <c r="C116" s="47" t="s">
        <v>255</v>
      </c>
      <c r="D116" s="47" t="s">
        <v>256</v>
      </c>
      <c r="E116" s="47">
        <v>400</v>
      </c>
      <c r="F116" s="47" t="s">
        <v>380</v>
      </c>
      <c r="G116" s="47">
        <v>58.4</v>
      </c>
      <c r="H116" s="47">
        <v>525</v>
      </c>
      <c r="I116" s="47">
        <v>657.5</v>
      </c>
      <c r="J116" s="47">
        <v>0.16800000000000001</v>
      </c>
      <c r="K116" s="47" t="s">
        <v>336</v>
      </c>
      <c r="L116" s="51"/>
      <c r="M116" s="51"/>
      <c r="N116" s="47" t="str">
        <f t="shared" si="3"/>
        <v>400|3.5C / Cu / XLPE / Armoured</v>
      </c>
      <c r="O116" s="49"/>
    </row>
    <row r="117" spans="1:15" ht="18" customHeight="1" x14ac:dyDescent="0.45">
      <c r="A117" s="46" t="s">
        <v>282</v>
      </c>
      <c r="B117" s="47" t="s">
        <v>334</v>
      </c>
      <c r="C117" s="47" t="s">
        <v>255</v>
      </c>
      <c r="D117" s="47" t="s">
        <v>260</v>
      </c>
      <c r="E117" s="47">
        <v>400</v>
      </c>
      <c r="F117" s="47" t="s">
        <v>381</v>
      </c>
      <c r="G117" s="47">
        <v>54.9</v>
      </c>
      <c r="H117" s="47">
        <v>525</v>
      </c>
      <c r="I117" s="47">
        <v>657.5</v>
      </c>
      <c r="J117" s="47">
        <v>0.16800000000000001</v>
      </c>
      <c r="K117" s="47" t="s">
        <v>336</v>
      </c>
      <c r="L117" s="51"/>
      <c r="M117" s="51"/>
      <c r="N117" s="47" t="str">
        <f t="shared" si="3"/>
        <v>400|3.5C / Cu / XLPE / Unarmoured</v>
      </c>
      <c r="O117" s="49"/>
    </row>
    <row r="118" spans="1:15" ht="18" customHeight="1" x14ac:dyDescent="0.45">
      <c r="A118" s="46" t="s">
        <v>308</v>
      </c>
      <c r="B118" s="47" t="s">
        <v>334</v>
      </c>
      <c r="C118" s="47" t="s">
        <v>255</v>
      </c>
      <c r="D118" s="47" t="s">
        <v>256</v>
      </c>
      <c r="E118" s="47">
        <v>16</v>
      </c>
      <c r="F118" s="47" t="s">
        <v>382</v>
      </c>
      <c r="G118" s="47">
        <v>16.8</v>
      </c>
      <c r="H118" s="47">
        <v>87.5</v>
      </c>
      <c r="I118" s="47">
        <v>91.2</v>
      </c>
      <c r="J118" s="47">
        <v>3.6</v>
      </c>
      <c r="K118" s="47" t="s">
        <v>336</v>
      </c>
      <c r="L118" s="51"/>
      <c r="M118" s="51"/>
      <c r="N118" s="47" t="str">
        <f t="shared" si="3"/>
        <v>16|4C / Cu / XLPE / Armoured</v>
      </c>
      <c r="O118" s="49"/>
    </row>
    <row r="119" spans="1:15" ht="18" customHeight="1" x14ac:dyDescent="0.45">
      <c r="A119" s="46" t="s">
        <v>308</v>
      </c>
      <c r="B119" s="47" t="s">
        <v>334</v>
      </c>
      <c r="C119" s="47" t="s">
        <v>255</v>
      </c>
      <c r="D119" s="47" t="s">
        <v>260</v>
      </c>
      <c r="E119" s="47">
        <v>16</v>
      </c>
      <c r="F119" s="47" t="s">
        <v>383</v>
      </c>
      <c r="G119" s="47">
        <v>15.8</v>
      </c>
      <c r="H119" s="47">
        <v>87.5</v>
      </c>
      <c r="I119" s="47">
        <v>91.2</v>
      </c>
      <c r="J119" s="47">
        <v>3.6</v>
      </c>
      <c r="K119" s="47" t="s">
        <v>336</v>
      </c>
      <c r="L119" s="51"/>
      <c r="M119" s="51"/>
      <c r="N119" s="47" t="str">
        <f t="shared" si="3"/>
        <v>16|4C / Cu / XLPE / Unarmoured</v>
      </c>
      <c r="O119" s="49"/>
    </row>
    <row r="120" spans="1:15" ht="18" customHeight="1" x14ac:dyDescent="0.45">
      <c r="A120" s="46" t="s">
        <v>308</v>
      </c>
      <c r="B120" s="47" t="s">
        <v>334</v>
      </c>
      <c r="C120" s="47" t="s">
        <v>255</v>
      </c>
      <c r="D120" s="47" t="s">
        <v>256</v>
      </c>
      <c r="E120" s="47">
        <v>25</v>
      </c>
      <c r="F120" s="47" t="s">
        <v>384</v>
      </c>
      <c r="G120" s="47">
        <v>19.600000000000001</v>
      </c>
      <c r="H120" s="47">
        <v>115</v>
      </c>
      <c r="I120" s="47">
        <v>118.8</v>
      </c>
      <c r="J120" s="47">
        <v>2.2400000000000002</v>
      </c>
      <c r="K120" s="47" t="s">
        <v>336</v>
      </c>
      <c r="L120" s="51"/>
      <c r="M120" s="51"/>
      <c r="N120" s="47" t="str">
        <f t="shared" si="3"/>
        <v>25|4C / Cu / XLPE / Armoured</v>
      </c>
      <c r="O120" s="49"/>
    </row>
    <row r="121" spans="1:15" ht="18" customHeight="1" x14ac:dyDescent="0.45">
      <c r="A121" s="46" t="s">
        <v>308</v>
      </c>
      <c r="B121" s="47" t="s">
        <v>334</v>
      </c>
      <c r="C121" s="47" t="s">
        <v>255</v>
      </c>
      <c r="D121" s="47" t="s">
        <v>260</v>
      </c>
      <c r="E121" s="47">
        <v>25</v>
      </c>
      <c r="F121" s="47" t="s">
        <v>385</v>
      </c>
      <c r="G121" s="47">
        <v>18.5</v>
      </c>
      <c r="H121" s="47">
        <v>115</v>
      </c>
      <c r="I121" s="47">
        <v>118.8</v>
      </c>
      <c r="J121" s="47">
        <v>2.2400000000000002</v>
      </c>
      <c r="K121" s="47" t="s">
        <v>336</v>
      </c>
      <c r="L121" s="51"/>
      <c r="M121" s="51"/>
      <c r="N121" s="47" t="str">
        <f t="shared" si="3"/>
        <v>25|4C / Cu / XLPE / Unarmoured</v>
      </c>
      <c r="O121" s="49"/>
    </row>
    <row r="122" spans="1:15" ht="18" customHeight="1" x14ac:dyDescent="0.45">
      <c r="A122" s="46" t="s">
        <v>308</v>
      </c>
      <c r="B122" s="47" t="s">
        <v>334</v>
      </c>
      <c r="C122" s="47" t="s">
        <v>255</v>
      </c>
      <c r="D122" s="47" t="s">
        <v>256</v>
      </c>
      <c r="E122" s="47">
        <v>35</v>
      </c>
      <c r="F122" s="47" t="s">
        <v>386</v>
      </c>
      <c r="G122" s="47">
        <v>21.3</v>
      </c>
      <c r="H122" s="47">
        <v>137.5</v>
      </c>
      <c r="I122" s="47">
        <v>143.80000000000001</v>
      </c>
      <c r="J122" s="47">
        <v>1.6</v>
      </c>
      <c r="K122" s="47" t="s">
        <v>336</v>
      </c>
      <c r="L122" s="51"/>
      <c r="M122" s="51"/>
      <c r="N122" s="47" t="str">
        <f t="shared" si="3"/>
        <v>35|4C / Cu / XLPE / Armoured</v>
      </c>
      <c r="O122" s="49"/>
    </row>
    <row r="123" spans="1:15" ht="18" customHeight="1" x14ac:dyDescent="0.45">
      <c r="A123" s="46" t="s">
        <v>308</v>
      </c>
      <c r="B123" s="47" t="s">
        <v>334</v>
      </c>
      <c r="C123" s="47" t="s">
        <v>255</v>
      </c>
      <c r="D123" s="47" t="s">
        <v>260</v>
      </c>
      <c r="E123" s="47">
        <v>35</v>
      </c>
      <c r="F123" s="47" t="s">
        <v>387</v>
      </c>
      <c r="G123" s="47">
        <v>20</v>
      </c>
      <c r="H123" s="47">
        <v>137.5</v>
      </c>
      <c r="I123" s="47">
        <v>143.80000000000001</v>
      </c>
      <c r="J123" s="47">
        <v>1.6</v>
      </c>
      <c r="K123" s="47" t="s">
        <v>336</v>
      </c>
      <c r="L123" s="51"/>
      <c r="M123" s="51"/>
      <c r="N123" s="47" t="str">
        <f t="shared" si="3"/>
        <v>35|4C / Cu / XLPE / Unarmoured</v>
      </c>
      <c r="O123" s="49"/>
    </row>
    <row r="124" spans="1:15" ht="18" customHeight="1" x14ac:dyDescent="0.45">
      <c r="A124" s="46" t="s">
        <v>308</v>
      </c>
      <c r="B124" s="47" t="s">
        <v>334</v>
      </c>
      <c r="C124" s="47" t="s">
        <v>255</v>
      </c>
      <c r="D124" s="47" t="s">
        <v>256</v>
      </c>
      <c r="E124" s="47">
        <v>50</v>
      </c>
      <c r="F124" s="47" t="s">
        <v>388</v>
      </c>
      <c r="G124" s="47">
        <v>24.7</v>
      </c>
      <c r="H124" s="47">
        <v>162.5</v>
      </c>
      <c r="I124" s="47">
        <v>171.2</v>
      </c>
      <c r="J124" s="47">
        <v>1.2</v>
      </c>
      <c r="K124" s="47" t="s">
        <v>336</v>
      </c>
      <c r="L124" s="51"/>
      <c r="M124" s="51"/>
      <c r="N124" s="47" t="str">
        <f t="shared" si="3"/>
        <v>50|4C / Cu / XLPE / Armoured</v>
      </c>
      <c r="O124" s="49"/>
    </row>
    <row r="125" spans="1:15" ht="18" customHeight="1" x14ac:dyDescent="0.45">
      <c r="A125" s="46" t="s">
        <v>308</v>
      </c>
      <c r="B125" s="47" t="s">
        <v>334</v>
      </c>
      <c r="C125" s="47" t="s">
        <v>255</v>
      </c>
      <c r="D125" s="47" t="s">
        <v>260</v>
      </c>
      <c r="E125" s="47">
        <v>50</v>
      </c>
      <c r="F125" s="47" t="s">
        <v>389</v>
      </c>
      <c r="G125" s="47">
        <v>23.2</v>
      </c>
      <c r="H125" s="47">
        <v>162.5</v>
      </c>
      <c r="I125" s="47">
        <v>171.2</v>
      </c>
      <c r="J125" s="47">
        <v>1.2</v>
      </c>
      <c r="K125" s="47" t="s">
        <v>336</v>
      </c>
      <c r="L125" s="51"/>
      <c r="M125" s="51"/>
      <c r="N125" s="47" t="str">
        <f t="shared" si="3"/>
        <v>50|4C / Cu / XLPE / Unarmoured</v>
      </c>
      <c r="O125" s="49"/>
    </row>
    <row r="126" spans="1:15" ht="18" customHeight="1" x14ac:dyDescent="0.45">
      <c r="A126" s="46" t="s">
        <v>308</v>
      </c>
      <c r="B126" s="47" t="s">
        <v>334</v>
      </c>
      <c r="C126" s="47" t="s">
        <v>255</v>
      </c>
      <c r="D126" s="47" t="s">
        <v>256</v>
      </c>
      <c r="E126" s="47">
        <v>70</v>
      </c>
      <c r="F126" s="47" t="s">
        <v>390</v>
      </c>
      <c r="G126" s="47">
        <v>28.1</v>
      </c>
      <c r="H126" s="47">
        <v>200</v>
      </c>
      <c r="I126" s="47">
        <v>216.2</v>
      </c>
      <c r="J126" s="47">
        <v>0.84</v>
      </c>
      <c r="K126" s="47" t="s">
        <v>336</v>
      </c>
      <c r="L126" s="51"/>
      <c r="M126" s="51"/>
      <c r="N126" s="47" t="str">
        <f t="shared" si="3"/>
        <v>70|4C / Cu / XLPE / Armoured</v>
      </c>
      <c r="O126" s="49"/>
    </row>
    <row r="127" spans="1:15" ht="18" customHeight="1" x14ac:dyDescent="0.45">
      <c r="A127" s="46" t="s">
        <v>308</v>
      </c>
      <c r="B127" s="47" t="s">
        <v>334</v>
      </c>
      <c r="C127" s="47" t="s">
        <v>255</v>
      </c>
      <c r="D127" s="47" t="s">
        <v>260</v>
      </c>
      <c r="E127" s="47">
        <v>70</v>
      </c>
      <c r="F127" s="47" t="s">
        <v>391</v>
      </c>
      <c r="G127" s="47">
        <v>26.4</v>
      </c>
      <c r="H127" s="47">
        <v>200</v>
      </c>
      <c r="I127" s="47">
        <v>216.2</v>
      </c>
      <c r="J127" s="47">
        <v>0.84</v>
      </c>
      <c r="K127" s="47" t="s">
        <v>336</v>
      </c>
      <c r="L127" s="51"/>
      <c r="M127" s="51"/>
      <c r="N127" s="47" t="str">
        <f t="shared" si="3"/>
        <v>70|4C / Cu / XLPE / Unarmoured</v>
      </c>
      <c r="O127" s="49"/>
    </row>
    <row r="128" spans="1:15" ht="18" customHeight="1" x14ac:dyDescent="0.45">
      <c r="A128" s="46" t="s">
        <v>308</v>
      </c>
      <c r="B128" s="47" t="s">
        <v>334</v>
      </c>
      <c r="C128" s="47" t="s">
        <v>255</v>
      </c>
      <c r="D128" s="47" t="s">
        <v>256</v>
      </c>
      <c r="E128" s="47">
        <v>95</v>
      </c>
      <c r="F128" s="47" t="s">
        <v>392</v>
      </c>
      <c r="G128" s="47">
        <v>31.4</v>
      </c>
      <c r="H128" s="47">
        <v>240</v>
      </c>
      <c r="I128" s="47">
        <v>267.5</v>
      </c>
      <c r="J128" s="47">
        <v>0.57599999999999996</v>
      </c>
      <c r="K128" s="47" t="s">
        <v>336</v>
      </c>
      <c r="L128" s="51"/>
      <c r="M128" s="51"/>
      <c r="N128" s="47" t="str">
        <f t="shared" si="3"/>
        <v>95|4C / Cu / XLPE / Armoured</v>
      </c>
      <c r="O128" s="49"/>
    </row>
    <row r="129" spans="1:15" ht="18" customHeight="1" x14ac:dyDescent="0.45">
      <c r="A129" s="46" t="s">
        <v>308</v>
      </c>
      <c r="B129" s="47" t="s">
        <v>334</v>
      </c>
      <c r="C129" s="47" t="s">
        <v>255</v>
      </c>
      <c r="D129" s="47" t="s">
        <v>260</v>
      </c>
      <c r="E129" s="47">
        <v>95</v>
      </c>
      <c r="F129" s="47" t="s">
        <v>393</v>
      </c>
      <c r="G129" s="47">
        <v>29.5</v>
      </c>
      <c r="H129" s="47">
        <v>240</v>
      </c>
      <c r="I129" s="47">
        <v>267.5</v>
      </c>
      <c r="J129" s="47">
        <v>0.57599999999999996</v>
      </c>
      <c r="K129" s="47" t="s">
        <v>336</v>
      </c>
      <c r="L129" s="51"/>
      <c r="M129" s="51"/>
      <c r="N129" s="47" t="str">
        <f t="shared" si="3"/>
        <v>95|4C / Cu / XLPE / Unarmoured</v>
      </c>
      <c r="O129" s="49"/>
    </row>
    <row r="130" spans="1:15" ht="18" customHeight="1" x14ac:dyDescent="0.45">
      <c r="A130" s="46" t="s">
        <v>308</v>
      </c>
      <c r="B130" s="47" t="s">
        <v>334</v>
      </c>
      <c r="C130" s="47" t="s">
        <v>255</v>
      </c>
      <c r="D130" s="47" t="s">
        <v>256</v>
      </c>
      <c r="E130" s="47">
        <v>120</v>
      </c>
      <c r="F130" s="47" t="s">
        <v>394</v>
      </c>
      <c r="G130" s="47">
        <v>34.799999999999997</v>
      </c>
      <c r="H130" s="47">
        <v>272.5</v>
      </c>
      <c r="I130" s="47">
        <v>308.8</v>
      </c>
      <c r="J130" s="47">
        <v>0.45600000000000002</v>
      </c>
      <c r="K130" s="47" t="s">
        <v>336</v>
      </c>
      <c r="L130" s="51"/>
      <c r="M130" s="51"/>
      <c r="N130" s="47" t="str">
        <f t="shared" ref="N130:N141" si="4">E130&amp;"|"&amp;A130&amp;" / "&amp;B130&amp;" / "&amp;C130&amp;" / "&amp;D130</f>
        <v>120|4C / Cu / XLPE / Armoured</v>
      </c>
      <c r="O130" s="49"/>
    </row>
    <row r="131" spans="1:15" ht="18" customHeight="1" x14ac:dyDescent="0.45">
      <c r="A131" s="46" t="s">
        <v>308</v>
      </c>
      <c r="B131" s="47" t="s">
        <v>334</v>
      </c>
      <c r="C131" s="47" t="s">
        <v>255</v>
      </c>
      <c r="D131" s="47" t="s">
        <v>260</v>
      </c>
      <c r="E131" s="47">
        <v>120</v>
      </c>
      <c r="F131" s="47" t="s">
        <v>395</v>
      </c>
      <c r="G131" s="47">
        <v>32.700000000000003</v>
      </c>
      <c r="H131" s="47">
        <v>272.5</v>
      </c>
      <c r="I131" s="47">
        <v>308.8</v>
      </c>
      <c r="J131" s="47">
        <v>0.45600000000000002</v>
      </c>
      <c r="K131" s="47" t="s">
        <v>336</v>
      </c>
      <c r="L131" s="51"/>
      <c r="M131" s="51"/>
      <c r="N131" s="47" t="str">
        <f t="shared" si="4"/>
        <v>120|4C / Cu / XLPE / Unarmoured</v>
      </c>
      <c r="O131" s="49"/>
    </row>
    <row r="132" spans="1:15" ht="18" customHeight="1" x14ac:dyDescent="0.45">
      <c r="A132" s="46" t="s">
        <v>308</v>
      </c>
      <c r="B132" s="47" t="s">
        <v>334</v>
      </c>
      <c r="C132" s="47" t="s">
        <v>255</v>
      </c>
      <c r="D132" s="47" t="s">
        <v>256</v>
      </c>
      <c r="E132" s="47">
        <v>150</v>
      </c>
      <c r="F132" s="47" t="s">
        <v>396</v>
      </c>
      <c r="G132" s="47">
        <v>38.1</v>
      </c>
      <c r="H132" s="47">
        <v>306.2</v>
      </c>
      <c r="I132" s="47">
        <v>350</v>
      </c>
      <c r="J132" s="47">
        <v>0.39200000000000002</v>
      </c>
      <c r="K132" s="47" t="s">
        <v>336</v>
      </c>
      <c r="L132" s="51"/>
      <c r="M132" s="51"/>
      <c r="N132" s="47" t="str">
        <f t="shared" si="4"/>
        <v>150|4C / Cu / XLPE / Armoured</v>
      </c>
      <c r="O132" s="49"/>
    </row>
    <row r="133" spans="1:15" ht="18" customHeight="1" x14ac:dyDescent="0.45">
      <c r="A133" s="46" t="s">
        <v>308</v>
      </c>
      <c r="B133" s="47" t="s">
        <v>334</v>
      </c>
      <c r="C133" s="47" t="s">
        <v>255</v>
      </c>
      <c r="D133" s="47" t="s">
        <v>260</v>
      </c>
      <c r="E133" s="47">
        <v>150</v>
      </c>
      <c r="F133" s="47" t="s">
        <v>397</v>
      </c>
      <c r="G133" s="47">
        <v>35.9</v>
      </c>
      <c r="H133" s="47">
        <v>306.2</v>
      </c>
      <c r="I133" s="47">
        <v>350</v>
      </c>
      <c r="J133" s="47">
        <v>0.39200000000000002</v>
      </c>
      <c r="K133" s="47" t="s">
        <v>336</v>
      </c>
      <c r="L133" s="51"/>
      <c r="M133" s="51"/>
      <c r="N133" s="47" t="str">
        <f t="shared" si="4"/>
        <v>150|4C / Cu / XLPE / Unarmoured</v>
      </c>
      <c r="O133" s="49"/>
    </row>
    <row r="134" spans="1:15" ht="18" customHeight="1" x14ac:dyDescent="0.45">
      <c r="A134" s="46" t="s">
        <v>308</v>
      </c>
      <c r="B134" s="47" t="s">
        <v>334</v>
      </c>
      <c r="C134" s="47" t="s">
        <v>255</v>
      </c>
      <c r="D134" s="47" t="s">
        <v>256</v>
      </c>
      <c r="E134" s="47">
        <v>185</v>
      </c>
      <c r="F134" s="47" t="s">
        <v>398</v>
      </c>
      <c r="G134" s="47">
        <v>42.6</v>
      </c>
      <c r="H134" s="47">
        <v>347.5</v>
      </c>
      <c r="I134" s="47">
        <v>406.2</v>
      </c>
      <c r="J134" s="47">
        <v>0.32800000000000001</v>
      </c>
      <c r="K134" s="47" t="s">
        <v>336</v>
      </c>
      <c r="L134" s="51"/>
      <c r="M134" s="51"/>
      <c r="N134" s="47" t="str">
        <f t="shared" si="4"/>
        <v>185|4C / Cu / XLPE / Armoured</v>
      </c>
      <c r="O134" s="49"/>
    </row>
    <row r="135" spans="1:15" ht="18" customHeight="1" x14ac:dyDescent="0.45">
      <c r="A135" s="46" t="s">
        <v>308</v>
      </c>
      <c r="B135" s="47" t="s">
        <v>334</v>
      </c>
      <c r="C135" s="47" t="s">
        <v>255</v>
      </c>
      <c r="D135" s="47" t="s">
        <v>260</v>
      </c>
      <c r="E135" s="47">
        <v>185</v>
      </c>
      <c r="F135" s="47" t="s">
        <v>399</v>
      </c>
      <c r="G135" s="47">
        <v>40.1</v>
      </c>
      <c r="H135" s="47">
        <v>347.5</v>
      </c>
      <c r="I135" s="47">
        <v>406.2</v>
      </c>
      <c r="J135" s="47">
        <v>0.32800000000000001</v>
      </c>
      <c r="K135" s="47" t="s">
        <v>336</v>
      </c>
      <c r="L135" s="51"/>
      <c r="M135" s="51"/>
      <c r="N135" s="47" t="str">
        <f t="shared" si="4"/>
        <v>185|4C / Cu / XLPE / Unarmoured</v>
      </c>
      <c r="O135" s="49"/>
    </row>
    <row r="136" spans="1:15" ht="18" customHeight="1" x14ac:dyDescent="0.45">
      <c r="A136" s="46" t="s">
        <v>308</v>
      </c>
      <c r="B136" s="47" t="s">
        <v>334</v>
      </c>
      <c r="C136" s="47" t="s">
        <v>255</v>
      </c>
      <c r="D136" s="47" t="s">
        <v>256</v>
      </c>
      <c r="E136" s="47">
        <v>240</v>
      </c>
      <c r="F136" s="47" t="s">
        <v>400</v>
      </c>
      <c r="G136" s="47">
        <v>48.2</v>
      </c>
      <c r="H136" s="47">
        <v>402.5</v>
      </c>
      <c r="I136" s="47">
        <v>485</v>
      </c>
      <c r="J136" s="47">
        <v>0.248</v>
      </c>
      <c r="K136" s="47" t="s">
        <v>336</v>
      </c>
      <c r="L136" s="51"/>
      <c r="M136" s="51"/>
      <c r="N136" s="47" t="str">
        <f t="shared" si="4"/>
        <v>240|4C / Cu / XLPE / Armoured</v>
      </c>
      <c r="O136" s="49"/>
    </row>
    <row r="137" spans="1:15" ht="18" customHeight="1" x14ac:dyDescent="0.45">
      <c r="A137" s="46" t="s">
        <v>308</v>
      </c>
      <c r="B137" s="47" t="s">
        <v>334</v>
      </c>
      <c r="C137" s="47" t="s">
        <v>255</v>
      </c>
      <c r="D137" s="47" t="s">
        <v>260</v>
      </c>
      <c r="E137" s="47">
        <v>240</v>
      </c>
      <c r="F137" s="47" t="s">
        <v>401</v>
      </c>
      <c r="G137" s="47">
        <v>45.4</v>
      </c>
      <c r="H137" s="47">
        <v>402.5</v>
      </c>
      <c r="I137" s="47">
        <v>485</v>
      </c>
      <c r="J137" s="47">
        <v>0.248</v>
      </c>
      <c r="K137" s="47" t="s">
        <v>336</v>
      </c>
      <c r="L137" s="51"/>
      <c r="M137" s="51"/>
      <c r="N137" s="47" t="str">
        <f t="shared" si="4"/>
        <v>240|4C / Cu / XLPE / Unarmoured</v>
      </c>
      <c r="O137" s="49"/>
    </row>
    <row r="138" spans="1:15" ht="18" customHeight="1" x14ac:dyDescent="0.45">
      <c r="A138" s="46" t="s">
        <v>308</v>
      </c>
      <c r="B138" s="47" t="s">
        <v>334</v>
      </c>
      <c r="C138" s="47" t="s">
        <v>255</v>
      </c>
      <c r="D138" s="47" t="s">
        <v>256</v>
      </c>
      <c r="E138" s="47">
        <v>300</v>
      </c>
      <c r="F138" s="47" t="s">
        <v>402</v>
      </c>
      <c r="G138" s="47">
        <v>53.9</v>
      </c>
      <c r="H138" s="47">
        <v>453.8</v>
      </c>
      <c r="I138" s="47">
        <v>558.79999999999995</v>
      </c>
      <c r="J138" s="47">
        <v>0.216</v>
      </c>
      <c r="K138" s="47" t="s">
        <v>336</v>
      </c>
      <c r="L138" s="51"/>
      <c r="M138" s="51"/>
      <c r="N138" s="47" t="str">
        <f t="shared" si="4"/>
        <v>300|4C / Cu / XLPE / Armoured</v>
      </c>
      <c r="O138" s="49"/>
    </row>
    <row r="139" spans="1:15" ht="18" customHeight="1" x14ac:dyDescent="0.45">
      <c r="A139" s="46" t="s">
        <v>308</v>
      </c>
      <c r="B139" s="47" t="s">
        <v>334</v>
      </c>
      <c r="C139" s="47" t="s">
        <v>255</v>
      </c>
      <c r="D139" s="47" t="s">
        <v>260</v>
      </c>
      <c r="E139" s="47">
        <v>300</v>
      </c>
      <c r="F139" s="47" t="s">
        <v>403</v>
      </c>
      <c r="G139" s="47">
        <v>50.6</v>
      </c>
      <c r="H139" s="47">
        <v>453.8</v>
      </c>
      <c r="I139" s="47">
        <v>558.79999999999995</v>
      </c>
      <c r="J139" s="47">
        <v>0.216</v>
      </c>
      <c r="K139" s="47" t="s">
        <v>336</v>
      </c>
      <c r="L139" s="51"/>
      <c r="M139" s="51"/>
      <c r="N139" s="47" t="str">
        <f t="shared" si="4"/>
        <v>300|4C / Cu / XLPE / Unarmoured</v>
      </c>
      <c r="O139" s="49"/>
    </row>
    <row r="140" spans="1:15" ht="18" customHeight="1" x14ac:dyDescent="0.45">
      <c r="A140" s="46" t="s">
        <v>308</v>
      </c>
      <c r="B140" s="47" t="s">
        <v>334</v>
      </c>
      <c r="C140" s="47" t="s">
        <v>255</v>
      </c>
      <c r="D140" s="47" t="s">
        <v>256</v>
      </c>
      <c r="E140" s="47">
        <v>400</v>
      </c>
      <c r="F140" s="47" t="s">
        <v>404</v>
      </c>
      <c r="G140" s="47">
        <v>60.6</v>
      </c>
      <c r="H140" s="47">
        <v>515</v>
      </c>
      <c r="I140" s="47">
        <v>650</v>
      </c>
      <c r="J140" s="47">
        <v>0.17599999999999999</v>
      </c>
      <c r="K140" s="47" t="s">
        <v>336</v>
      </c>
      <c r="L140" s="51"/>
      <c r="M140" s="51"/>
      <c r="N140" s="47" t="str">
        <f t="shared" si="4"/>
        <v>400|4C / Cu / XLPE / Armoured</v>
      </c>
      <c r="O140" s="49"/>
    </row>
    <row r="141" spans="1:15" ht="18.649999999999999" customHeight="1" thickBot="1" x14ac:dyDescent="0.5">
      <c r="A141" s="52" t="s">
        <v>308</v>
      </c>
      <c r="B141" s="53" t="s">
        <v>334</v>
      </c>
      <c r="C141" s="53" t="s">
        <v>255</v>
      </c>
      <c r="D141" s="53" t="s">
        <v>260</v>
      </c>
      <c r="E141" s="53">
        <v>400</v>
      </c>
      <c r="F141" s="53" t="s">
        <v>405</v>
      </c>
      <c r="G141" s="53">
        <v>57</v>
      </c>
      <c r="H141" s="53">
        <v>515</v>
      </c>
      <c r="I141" s="53">
        <v>650</v>
      </c>
      <c r="J141" s="53">
        <v>0.17599999999999999</v>
      </c>
      <c r="K141" s="53" t="s">
        <v>336</v>
      </c>
      <c r="L141" s="54"/>
      <c r="M141" s="54"/>
      <c r="N141" s="53" t="str">
        <f t="shared" si="4"/>
        <v>400|4C / Cu / XLPE / Unarmoured</v>
      </c>
      <c r="O141" s="55"/>
    </row>
  </sheetData>
  <pageMargins left="0.7" right="0.7" top="0.75" bottom="0.75" header="0.511811023622047" footer="0.511811023622047"/>
  <pageSetup paperSize="9" scale="1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8"/>
  <sheetViews>
    <sheetView view="pageBreakPreview" zoomScaleNormal="100" zoomScaleSheetLayoutView="100" workbookViewId="0">
      <pane ySplit="1" topLeftCell="A2" activePane="bottomLeft" state="frozen"/>
      <selection pane="bottomLeft" activeCell="B15" sqref="B15"/>
    </sheetView>
  </sheetViews>
  <sheetFormatPr defaultColWidth="8.6328125" defaultRowHeight="15" customHeight="1" x14ac:dyDescent="0.35"/>
  <cols>
    <col min="1" max="1" width="32" customWidth="1"/>
    <col min="2" max="2" width="75" customWidth="1"/>
    <col min="3" max="3" width="70" customWidth="1"/>
  </cols>
  <sheetData>
    <row r="1" spans="1:3" ht="17.25" customHeight="1" x14ac:dyDescent="0.35">
      <c r="A1" s="120" t="s">
        <v>406</v>
      </c>
      <c r="B1" s="117"/>
      <c r="C1" s="118"/>
    </row>
    <row r="2" spans="1:3" ht="14.25" customHeight="1" x14ac:dyDescent="0.35">
      <c r="A2" s="31"/>
      <c r="B2" s="32"/>
      <c r="C2" s="33"/>
    </row>
    <row r="3" spans="1:3" ht="14.25" customHeight="1" x14ac:dyDescent="0.35">
      <c r="A3" s="56" t="s">
        <v>407</v>
      </c>
      <c r="B3" s="57" t="s">
        <v>408</v>
      </c>
      <c r="C3" s="58" t="s">
        <v>409</v>
      </c>
    </row>
    <row r="4" spans="1:3" ht="14.25" customHeight="1" x14ac:dyDescent="0.35">
      <c r="A4" s="56" t="s">
        <v>410</v>
      </c>
      <c r="B4" s="57" t="s">
        <v>411</v>
      </c>
      <c r="C4" s="58" t="s">
        <v>412</v>
      </c>
    </row>
    <row r="5" spans="1:3" ht="14.25" customHeight="1" x14ac:dyDescent="0.35">
      <c r="A5" s="56" t="s">
        <v>413</v>
      </c>
      <c r="B5" s="57" t="s">
        <v>414</v>
      </c>
      <c r="C5" s="58" t="s">
        <v>415</v>
      </c>
    </row>
    <row r="6" spans="1:3" ht="14.25" customHeight="1" x14ac:dyDescent="0.35">
      <c r="A6" s="56" t="s">
        <v>416</v>
      </c>
      <c r="B6" s="57" t="s">
        <v>417</v>
      </c>
      <c r="C6" s="58" t="s">
        <v>418</v>
      </c>
    </row>
    <row r="7" spans="1:3" ht="14.25" customHeight="1" x14ac:dyDescent="0.35">
      <c r="A7" s="56" t="s">
        <v>419</v>
      </c>
      <c r="B7" s="57" t="s">
        <v>417</v>
      </c>
      <c r="C7" s="58" t="s">
        <v>420</v>
      </c>
    </row>
    <row r="8" spans="1:3" ht="14.25" customHeight="1" x14ac:dyDescent="0.35">
      <c r="A8" s="56" t="s">
        <v>421</v>
      </c>
      <c r="B8" s="57" t="s">
        <v>422</v>
      </c>
      <c r="C8" s="58" t="s">
        <v>423</v>
      </c>
    </row>
    <row r="9" spans="1:3" ht="14.25" customHeight="1" x14ac:dyDescent="0.35">
      <c r="A9" s="56" t="s">
        <v>424</v>
      </c>
      <c r="B9" s="57" t="s">
        <v>425</v>
      </c>
      <c r="C9" s="58" t="s">
        <v>426</v>
      </c>
    </row>
    <row r="10" spans="1:3" ht="14.25" customHeight="1" x14ac:dyDescent="0.35">
      <c r="A10" s="56" t="s">
        <v>427</v>
      </c>
      <c r="B10" s="57" t="s">
        <v>428</v>
      </c>
      <c r="C10" s="58" t="s">
        <v>429</v>
      </c>
    </row>
    <row r="11" spans="1:3" ht="14.25" customHeight="1" x14ac:dyDescent="0.35">
      <c r="A11" s="56" t="s">
        <v>430</v>
      </c>
      <c r="B11" s="57" t="s">
        <v>431</v>
      </c>
      <c r="C11" s="58" t="s">
        <v>432</v>
      </c>
    </row>
    <row r="12" spans="1:3" ht="28.5" customHeight="1" x14ac:dyDescent="0.35">
      <c r="A12" s="56" t="s">
        <v>433</v>
      </c>
      <c r="B12" s="57" t="s">
        <v>434</v>
      </c>
      <c r="C12" s="58" t="s">
        <v>435</v>
      </c>
    </row>
    <row r="13" spans="1:3" ht="14.25" customHeight="1" thickBot="1" x14ac:dyDescent="0.4">
      <c r="A13" s="59" t="s">
        <v>436</v>
      </c>
      <c r="B13" s="60" t="s">
        <v>437</v>
      </c>
      <c r="C13" s="61" t="s">
        <v>438</v>
      </c>
    </row>
    <row r="14" spans="1:3" ht="14.25" customHeight="1" x14ac:dyDescent="0.35"/>
    <row r="15" spans="1:3" ht="28.5" customHeight="1" x14ac:dyDescent="0.35"/>
    <row r="16" spans="1:3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28.5" customHeight="1" x14ac:dyDescent="0.35"/>
    <row r="22" ht="28.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</sheetData>
  <mergeCells count="1">
    <mergeCell ref="A1:C1"/>
  </mergeCells>
  <pageMargins left="0.75" right="0.75" top="1" bottom="1" header="0.511811023622047" footer="0.511811023622047"/>
  <pageSetup paperSize="9" scale="46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1"/>
  <sheetViews>
    <sheetView showGridLines="0" view="pageBreakPreview" zoomScaleNormal="100" zoomScaleSheetLayoutView="100" workbookViewId="0">
      <pane ySplit="1" topLeftCell="A2" activePane="bottomLeft" state="frozen"/>
      <selection pane="bottomLeft" activeCell="A12" sqref="A12"/>
    </sheetView>
  </sheetViews>
  <sheetFormatPr defaultColWidth="8.6328125" defaultRowHeight="15" customHeight="1" x14ac:dyDescent="0.35"/>
  <cols>
    <col min="1" max="1" width="120" customWidth="1"/>
  </cols>
  <sheetData>
    <row r="1" spans="1:1" ht="28.5" customHeight="1" x14ac:dyDescent="0.35">
      <c r="A1" s="62" t="s">
        <v>439</v>
      </c>
    </row>
    <row r="2" spans="1:1" ht="28.5" customHeight="1" x14ac:dyDescent="0.35">
      <c r="A2" s="63" t="s">
        <v>440</v>
      </c>
    </row>
    <row r="3" spans="1:1" ht="42.75" customHeight="1" x14ac:dyDescent="0.35">
      <c r="A3" s="64" t="s">
        <v>441</v>
      </c>
    </row>
    <row r="4" spans="1:1" ht="15" customHeight="1" x14ac:dyDescent="0.35">
      <c r="A4" s="64" t="s">
        <v>154</v>
      </c>
    </row>
    <row r="5" spans="1:1" ht="14.25" customHeight="1" x14ac:dyDescent="0.35">
      <c r="A5" s="65" t="s">
        <v>442</v>
      </c>
    </row>
    <row r="6" spans="1:1" ht="14.25" customHeight="1" x14ac:dyDescent="0.35">
      <c r="A6" s="64" t="s">
        <v>443</v>
      </c>
    </row>
    <row r="7" spans="1:1" ht="14.25" customHeight="1" x14ac:dyDescent="0.35">
      <c r="A7" s="64" t="s">
        <v>444</v>
      </c>
    </row>
    <row r="8" spans="1:1" ht="14.25" customHeight="1" x14ac:dyDescent="0.35">
      <c r="A8" s="64" t="s">
        <v>445</v>
      </c>
    </row>
    <row r="9" spans="1:1" ht="14.25" customHeight="1" x14ac:dyDescent="0.35">
      <c r="A9" s="64" t="s">
        <v>446</v>
      </c>
    </row>
    <row r="10" spans="1:1" ht="14.25" customHeight="1" x14ac:dyDescent="0.35">
      <c r="A10" s="64" t="s">
        <v>447</v>
      </c>
    </row>
    <row r="11" spans="1:1" ht="15" customHeight="1" thickBot="1" x14ac:dyDescent="0.4">
      <c r="A11" s="66" t="s">
        <v>448</v>
      </c>
    </row>
  </sheetData>
  <pageMargins left="0.75" right="0.75" top="1" bottom="1" header="0.511811023622047" footer="0.511811023622047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8"/>
  <sheetViews>
    <sheetView zoomScaleNormal="100" workbookViewId="0">
      <pane ySplit="1" topLeftCell="A2" activePane="bottomLeft" state="frozen"/>
      <selection pane="bottomLeft"/>
    </sheetView>
  </sheetViews>
  <sheetFormatPr defaultColWidth="8.6328125" defaultRowHeight="14.25" customHeight="1" x14ac:dyDescent="0.35"/>
  <cols>
    <col min="1" max="1" width="31" customWidth="1"/>
    <col min="2" max="7" width="12" customWidth="1"/>
  </cols>
  <sheetData>
    <row r="1" spans="1:10" ht="14.25" customHeight="1" x14ac:dyDescent="0.35">
      <c r="A1" s="8" t="s">
        <v>60</v>
      </c>
      <c r="B1" s="8" t="s">
        <v>242</v>
      </c>
      <c r="C1" s="8" t="s">
        <v>243</v>
      </c>
      <c r="D1" s="8" t="s">
        <v>122</v>
      </c>
      <c r="E1" s="8" t="s">
        <v>123</v>
      </c>
      <c r="F1" s="8"/>
      <c r="G1" s="8" t="s">
        <v>449</v>
      </c>
      <c r="H1" t="s">
        <v>450</v>
      </c>
      <c r="J1" s="9" t="s">
        <v>451</v>
      </c>
    </row>
    <row r="2" spans="1:10" ht="14.25" customHeight="1" x14ac:dyDescent="0.35">
      <c r="A2" s="8" t="s">
        <v>133</v>
      </c>
      <c r="B2" s="8" t="s">
        <v>178</v>
      </c>
      <c r="C2" s="8" t="s">
        <v>254</v>
      </c>
      <c r="D2" s="8" t="s">
        <v>255</v>
      </c>
      <c r="E2" s="8" t="s">
        <v>256</v>
      </c>
      <c r="F2" s="8"/>
      <c r="G2" s="8">
        <v>16</v>
      </c>
      <c r="H2">
        <v>63</v>
      </c>
      <c r="J2">
        <v>16</v>
      </c>
    </row>
    <row r="3" spans="1:10" ht="14.25" customHeight="1" x14ac:dyDescent="0.35">
      <c r="A3" s="8" t="s">
        <v>452</v>
      </c>
      <c r="B3" s="8" t="s">
        <v>178</v>
      </c>
      <c r="C3" s="8" t="s">
        <v>254</v>
      </c>
      <c r="D3" s="8" t="s">
        <v>255</v>
      </c>
      <c r="E3" s="8" t="s">
        <v>260</v>
      </c>
      <c r="F3" s="8"/>
      <c r="G3" s="8">
        <v>25</v>
      </c>
      <c r="H3">
        <v>80</v>
      </c>
      <c r="J3">
        <v>20</v>
      </c>
    </row>
    <row r="4" spans="1:10" ht="14.25" customHeight="1" x14ac:dyDescent="0.35">
      <c r="A4" s="8" t="s">
        <v>453</v>
      </c>
      <c r="B4" s="8" t="s">
        <v>282</v>
      </c>
      <c r="C4" s="8" t="s">
        <v>254</v>
      </c>
      <c r="D4" s="8" t="s">
        <v>255</v>
      </c>
      <c r="E4" s="8" t="s">
        <v>256</v>
      </c>
      <c r="F4" s="8"/>
      <c r="G4" s="8">
        <v>35</v>
      </c>
      <c r="H4">
        <v>100</v>
      </c>
      <c r="J4">
        <v>25</v>
      </c>
    </row>
    <row r="5" spans="1:10" ht="14.25" customHeight="1" x14ac:dyDescent="0.35">
      <c r="A5" s="8" t="s">
        <v>454</v>
      </c>
      <c r="B5" s="8" t="s">
        <v>282</v>
      </c>
      <c r="C5" s="8" t="s">
        <v>254</v>
      </c>
      <c r="D5" s="8" t="s">
        <v>255</v>
      </c>
      <c r="E5" s="8" t="s">
        <v>260</v>
      </c>
      <c r="F5" s="8"/>
      <c r="G5" s="8">
        <v>50</v>
      </c>
      <c r="H5">
        <v>125</v>
      </c>
      <c r="J5">
        <v>32</v>
      </c>
    </row>
    <row r="6" spans="1:10" ht="14.25" customHeight="1" x14ac:dyDescent="0.35">
      <c r="A6" s="8" t="s">
        <v>137</v>
      </c>
      <c r="B6" s="8" t="s">
        <v>308</v>
      </c>
      <c r="C6" s="8" t="s">
        <v>254</v>
      </c>
      <c r="D6" s="8" t="s">
        <v>255</v>
      </c>
      <c r="E6" s="8" t="s">
        <v>256</v>
      </c>
      <c r="F6" s="8"/>
      <c r="G6" s="8">
        <v>70</v>
      </c>
      <c r="H6">
        <v>160</v>
      </c>
      <c r="J6">
        <v>40</v>
      </c>
    </row>
    <row r="7" spans="1:10" ht="14.25" customHeight="1" x14ac:dyDescent="0.35">
      <c r="A7" s="8" t="s">
        <v>455</v>
      </c>
      <c r="B7" s="8" t="s">
        <v>308</v>
      </c>
      <c r="C7" s="8" t="s">
        <v>254</v>
      </c>
      <c r="D7" s="8" t="s">
        <v>255</v>
      </c>
      <c r="E7" s="8" t="s">
        <v>260</v>
      </c>
      <c r="F7" s="8"/>
      <c r="G7" s="8">
        <v>95</v>
      </c>
      <c r="H7">
        <v>200</v>
      </c>
      <c r="J7">
        <v>50</v>
      </c>
    </row>
    <row r="8" spans="1:10" ht="14.25" customHeight="1" x14ac:dyDescent="0.35">
      <c r="A8" s="8" t="s">
        <v>456</v>
      </c>
      <c r="B8" s="8" t="s">
        <v>178</v>
      </c>
      <c r="C8" s="8" t="s">
        <v>334</v>
      </c>
      <c r="D8" s="8" t="s">
        <v>255</v>
      </c>
      <c r="E8" s="8" t="s">
        <v>256</v>
      </c>
      <c r="F8" s="8"/>
      <c r="G8" s="8">
        <v>120</v>
      </c>
      <c r="H8">
        <v>250</v>
      </c>
      <c r="J8">
        <v>63</v>
      </c>
    </row>
    <row r="9" spans="1:10" ht="14.25" customHeight="1" x14ac:dyDescent="0.35">
      <c r="A9" s="8" t="s">
        <v>140</v>
      </c>
      <c r="B9" s="8" t="s">
        <v>178</v>
      </c>
      <c r="C9" s="8" t="s">
        <v>334</v>
      </c>
      <c r="D9" s="8" t="s">
        <v>255</v>
      </c>
      <c r="E9" s="8" t="s">
        <v>260</v>
      </c>
      <c r="F9" s="8"/>
      <c r="G9" s="8">
        <v>150</v>
      </c>
      <c r="H9">
        <v>320</v>
      </c>
      <c r="J9">
        <v>80</v>
      </c>
    </row>
    <row r="10" spans="1:10" ht="14.25" customHeight="1" x14ac:dyDescent="0.35">
      <c r="A10" s="8" t="s">
        <v>457</v>
      </c>
      <c r="B10" s="8" t="s">
        <v>282</v>
      </c>
      <c r="C10" s="8" t="s">
        <v>334</v>
      </c>
      <c r="D10" s="8" t="s">
        <v>255</v>
      </c>
      <c r="E10" s="8" t="s">
        <v>256</v>
      </c>
      <c r="F10" s="8"/>
      <c r="G10" s="8">
        <v>185</v>
      </c>
      <c r="H10">
        <v>400</v>
      </c>
      <c r="J10">
        <v>100</v>
      </c>
    </row>
    <row r="11" spans="1:10" ht="14.25" customHeight="1" x14ac:dyDescent="0.35">
      <c r="A11" s="8" t="s">
        <v>458</v>
      </c>
      <c r="B11" s="8" t="s">
        <v>282</v>
      </c>
      <c r="C11" s="8" t="s">
        <v>334</v>
      </c>
      <c r="D11" s="8" t="s">
        <v>255</v>
      </c>
      <c r="E11" s="8" t="s">
        <v>260</v>
      </c>
      <c r="F11" s="8"/>
      <c r="G11" s="8">
        <v>240</v>
      </c>
      <c r="H11">
        <v>500</v>
      </c>
      <c r="J11">
        <v>125</v>
      </c>
    </row>
    <row r="12" spans="1:10" ht="14.25" customHeight="1" x14ac:dyDescent="0.35">
      <c r="A12" s="8" t="s">
        <v>459</v>
      </c>
      <c r="B12" s="8" t="s">
        <v>308</v>
      </c>
      <c r="C12" s="8" t="s">
        <v>334</v>
      </c>
      <c r="D12" s="8" t="s">
        <v>255</v>
      </c>
      <c r="E12" s="8" t="s">
        <v>256</v>
      </c>
      <c r="F12" s="8"/>
      <c r="G12" s="8">
        <v>300</v>
      </c>
      <c r="H12">
        <v>630</v>
      </c>
      <c r="J12">
        <v>160</v>
      </c>
    </row>
    <row r="13" spans="1:10" ht="14.25" customHeight="1" x14ac:dyDescent="0.35">
      <c r="A13" s="8" t="s">
        <v>460</v>
      </c>
      <c r="B13" s="8" t="s">
        <v>308</v>
      </c>
      <c r="C13" s="8" t="s">
        <v>334</v>
      </c>
      <c r="D13" s="8" t="s">
        <v>255</v>
      </c>
      <c r="E13" s="8" t="s">
        <v>260</v>
      </c>
      <c r="F13" s="8"/>
      <c r="G13" s="8">
        <v>400</v>
      </c>
      <c r="H13">
        <v>800</v>
      </c>
      <c r="J13">
        <v>200</v>
      </c>
    </row>
    <row r="14" spans="1:10" ht="14.25" customHeight="1" x14ac:dyDescent="0.35">
      <c r="H14">
        <v>1000</v>
      </c>
      <c r="J14">
        <v>250</v>
      </c>
    </row>
    <row r="15" spans="1:10" ht="14.25" customHeight="1" x14ac:dyDescent="0.35">
      <c r="H15">
        <v>1250</v>
      </c>
      <c r="J15">
        <v>320</v>
      </c>
    </row>
    <row r="16" spans="1:10" ht="14.25" customHeight="1" x14ac:dyDescent="0.35">
      <c r="H16">
        <v>1600</v>
      </c>
      <c r="J16">
        <v>400</v>
      </c>
    </row>
    <row r="17" spans="8:10" ht="14.25" customHeight="1" x14ac:dyDescent="0.35">
      <c r="H17">
        <v>2000</v>
      </c>
      <c r="J17">
        <v>500</v>
      </c>
    </row>
    <row r="18" spans="8:10" ht="14.25" customHeight="1" x14ac:dyDescent="0.35">
      <c r="H18">
        <v>2500</v>
      </c>
      <c r="J18">
        <v>630</v>
      </c>
    </row>
    <row r="19" spans="8:10" ht="14.25" customHeight="1" x14ac:dyDescent="0.35">
      <c r="H19">
        <v>3200</v>
      </c>
      <c r="J19">
        <v>800</v>
      </c>
    </row>
    <row r="20" spans="8:10" ht="14.25" customHeight="1" x14ac:dyDescent="0.35">
      <c r="J20">
        <v>1000</v>
      </c>
    </row>
    <row r="21" spans="8:10" ht="14.25" customHeight="1" x14ac:dyDescent="0.35">
      <c r="J21">
        <v>1250</v>
      </c>
    </row>
    <row r="22" spans="8:10" ht="14.25" customHeight="1" x14ac:dyDescent="0.35">
      <c r="J22">
        <v>1600</v>
      </c>
    </row>
    <row r="23" spans="8:10" ht="14.25" customHeight="1" x14ac:dyDescent="0.35">
      <c r="J23">
        <v>2000</v>
      </c>
    </row>
    <row r="24" spans="8:10" ht="14.25" customHeight="1" x14ac:dyDescent="0.35">
      <c r="J24">
        <v>2500</v>
      </c>
    </row>
    <row r="25" spans="8:10" ht="14.25" customHeight="1" x14ac:dyDescent="0.35">
      <c r="J25">
        <v>3200</v>
      </c>
    </row>
    <row r="26" spans="8:10" ht="14.25" customHeight="1" x14ac:dyDescent="0.35">
      <c r="J26">
        <v>4000</v>
      </c>
    </row>
    <row r="27" spans="8:10" ht="14.25" customHeight="1" x14ac:dyDescent="0.35">
      <c r="J27">
        <v>5000</v>
      </c>
    </row>
    <row r="28" spans="8:10" ht="14.25" customHeight="1" x14ac:dyDescent="0.35">
      <c r="J28">
        <v>6300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141"/>
  <sheetViews>
    <sheetView view="pageBreakPreview" zoomScale="70" zoomScaleNormal="70" zoomScaleSheetLayoutView="70" workbookViewId="0">
      <pane ySplit="1" topLeftCell="A11" activePane="bottomLeft" state="frozen"/>
      <selection activeCell="F22" sqref="F22"/>
      <selection pane="bottomLeft" activeCell="J27" sqref="J27"/>
    </sheetView>
  </sheetViews>
  <sheetFormatPr defaultColWidth="8.6328125" defaultRowHeight="14.5" x14ac:dyDescent="0.35"/>
  <cols>
    <col min="1" max="1" width="8" bestFit="1" customWidth="1"/>
    <col min="2" max="2" width="8.36328125" bestFit="1" customWidth="1"/>
    <col min="3" max="3" width="11.1796875" bestFit="1" customWidth="1"/>
    <col min="4" max="4" width="12.81640625" bestFit="1" customWidth="1"/>
    <col min="5" max="5" width="11.36328125" bestFit="1" customWidth="1"/>
    <col min="6" max="6" width="12.54296875" bestFit="1" customWidth="1"/>
    <col min="7" max="7" width="14.1796875" bestFit="1" customWidth="1"/>
    <col min="8" max="8" width="13.1796875" bestFit="1" customWidth="1"/>
    <col min="9" max="9" width="13.08984375" bestFit="1" customWidth="1"/>
    <col min="10" max="10" width="34.36328125" customWidth="1"/>
    <col min="11" max="11" width="12.36328125" bestFit="1" customWidth="1"/>
    <col min="12" max="12" width="11.6328125" bestFit="1" customWidth="1"/>
    <col min="13" max="13" width="17.1796875" bestFit="1" customWidth="1"/>
    <col min="14" max="14" width="66.08984375" hidden="1" customWidth="1"/>
    <col min="15" max="15" width="16.453125" hidden="1" customWidth="1"/>
    <col min="16" max="16" width="14.54296875" hidden="1" customWidth="1"/>
    <col min="17" max="17" width="11.453125" hidden="1" customWidth="1"/>
    <col min="18" max="42" width="13" hidden="1" customWidth="1"/>
  </cols>
  <sheetData>
    <row r="1" spans="1:17" ht="69.650000000000006" customHeight="1" x14ac:dyDescent="0.35">
      <c r="A1" s="68" t="s">
        <v>119</v>
      </c>
      <c r="B1" s="69" t="s">
        <v>120</v>
      </c>
      <c r="C1" s="69" t="s">
        <v>121</v>
      </c>
      <c r="D1" s="69" t="s">
        <v>122</v>
      </c>
      <c r="E1" s="69" t="s">
        <v>123</v>
      </c>
      <c r="F1" s="69" t="s">
        <v>461</v>
      </c>
      <c r="G1" s="69" t="s">
        <v>462</v>
      </c>
      <c r="H1" s="69" t="s">
        <v>463</v>
      </c>
      <c r="I1" s="69" t="s">
        <v>464</v>
      </c>
      <c r="J1" s="70" t="s">
        <v>465</v>
      </c>
      <c r="K1" s="69" t="s">
        <v>466</v>
      </c>
      <c r="L1" s="69" t="s">
        <v>246</v>
      </c>
      <c r="M1" s="71" t="s">
        <v>250</v>
      </c>
      <c r="N1" s="67" t="s">
        <v>467</v>
      </c>
      <c r="O1" s="8" t="s">
        <v>468</v>
      </c>
      <c r="P1" s="8" t="s">
        <v>469</v>
      </c>
      <c r="Q1" s="8" t="s">
        <v>470</v>
      </c>
    </row>
    <row r="2" spans="1:17" ht="28.75" customHeight="1" x14ac:dyDescent="0.35">
      <c r="A2" s="31" t="s">
        <v>255</v>
      </c>
      <c r="B2" s="32" t="s">
        <v>178</v>
      </c>
      <c r="C2" s="32" t="s">
        <v>254</v>
      </c>
      <c r="D2" s="32" t="s">
        <v>255</v>
      </c>
      <c r="E2" s="32" t="s">
        <v>256</v>
      </c>
      <c r="F2" s="32">
        <v>25</v>
      </c>
      <c r="G2" s="32">
        <v>96</v>
      </c>
      <c r="H2" s="88">
        <v>1.54</v>
      </c>
      <c r="I2" s="89">
        <v>0.08</v>
      </c>
      <c r="J2" s="32">
        <v>143</v>
      </c>
      <c r="K2" s="32">
        <f>IFERROR(SUMIFS('Cable Data'!$J:$J,'Cable Data'!$A:$A,B2,'Cable Data'!$B:$B,C2,'Cable Data'!$C:$C,D2,'Cable Data'!$D:$D,E2,'Cable Data'!$E:$E,F2),"")</f>
        <v>1.54</v>
      </c>
      <c r="L2" s="32">
        <f>IFERROR(SUMIFS('Cable Data'!$G:$G,'Cable Data'!$A:$A,B2,'Cable Data'!$B:$B,C2,'Cable Data'!$C:$C,D2,'Cable Data'!$D:$D,E2,'Cable Data'!$E:$E,F2),"")</f>
        <v>17.5</v>
      </c>
      <c r="M2" s="33"/>
      <c r="N2" s="67" t="s">
        <v>471</v>
      </c>
      <c r="O2" s="8"/>
      <c r="P2" s="8"/>
      <c r="Q2" s="8"/>
    </row>
    <row r="3" spans="1:17" ht="29" customHeight="1" x14ac:dyDescent="0.35">
      <c r="A3" s="31" t="s">
        <v>255</v>
      </c>
      <c r="B3" s="32" t="s">
        <v>178</v>
      </c>
      <c r="C3" s="32" t="s">
        <v>254</v>
      </c>
      <c r="D3" s="32" t="s">
        <v>255</v>
      </c>
      <c r="E3" s="32" t="s">
        <v>260</v>
      </c>
      <c r="F3" s="32">
        <v>25</v>
      </c>
      <c r="G3" s="32">
        <v>96</v>
      </c>
      <c r="H3" s="88">
        <v>1.54</v>
      </c>
      <c r="I3" s="89">
        <v>0.08</v>
      </c>
      <c r="J3" s="32">
        <v>143</v>
      </c>
      <c r="K3" s="32">
        <f>IFERROR(SUMIFS('Cable Data'!$J:$J,'Cable Data'!$A:$A,B3,'Cable Data'!$B:$B,C3,'Cable Data'!$C:$C,D3,'Cable Data'!$D:$D,E3,'Cable Data'!$E:$E,F3),"")</f>
        <v>1.54</v>
      </c>
      <c r="L3" s="32">
        <f>IFERROR(SUMIFS('Cable Data'!$G:$G,'Cable Data'!$A:$A,B3,'Cable Data'!$B:$B,C3,'Cable Data'!$C:$C,D3,'Cable Data'!$D:$D,E3,'Cable Data'!$E:$E,F3),"")</f>
        <v>16.399999999999999</v>
      </c>
      <c r="M3" s="33"/>
      <c r="N3" s="67" t="s">
        <v>472</v>
      </c>
      <c r="O3" s="8"/>
      <c r="P3" s="8"/>
      <c r="Q3" s="8"/>
    </row>
    <row r="4" spans="1:17" x14ac:dyDescent="0.35">
      <c r="A4" s="31" t="s">
        <v>255</v>
      </c>
      <c r="B4" s="32" t="s">
        <v>178</v>
      </c>
      <c r="C4" s="32" t="s">
        <v>254</v>
      </c>
      <c r="D4" s="32" t="s">
        <v>255</v>
      </c>
      <c r="E4" s="32" t="s">
        <v>256</v>
      </c>
      <c r="F4" s="32">
        <v>35</v>
      </c>
      <c r="G4" s="32">
        <v>117</v>
      </c>
      <c r="H4" s="88">
        <v>1.1100000000000001</v>
      </c>
      <c r="I4" s="89">
        <v>0.08</v>
      </c>
      <c r="J4" s="32">
        <v>143</v>
      </c>
      <c r="K4" s="32">
        <f>IFERROR(SUMIFS('Cable Data'!$J:$J,'Cable Data'!$A:$A,B4,'Cable Data'!$B:$B,C4,'Cable Data'!$C:$C,D4,'Cable Data'!$D:$D,E4,'Cable Data'!$E:$E,F4),"")</f>
        <v>1.1100000000000001</v>
      </c>
      <c r="L4" s="32">
        <f>IFERROR(SUMIFS('Cable Data'!$G:$G,'Cable Data'!$A:$A,B4,'Cable Data'!$B:$B,C4,'Cable Data'!$C:$C,D4,'Cable Data'!$D:$D,E4,'Cable Data'!$E:$E,F4),"")</f>
        <v>19</v>
      </c>
      <c r="M4" s="33"/>
      <c r="N4" s="67" t="s">
        <v>472</v>
      </c>
      <c r="O4" s="8"/>
      <c r="P4" s="8"/>
      <c r="Q4" s="8"/>
    </row>
    <row r="5" spans="1:17" ht="29" customHeight="1" x14ac:dyDescent="0.35">
      <c r="A5" s="31" t="s">
        <v>255</v>
      </c>
      <c r="B5" s="32" t="s">
        <v>178</v>
      </c>
      <c r="C5" s="32" t="s">
        <v>254</v>
      </c>
      <c r="D5" s="32" t="s">
        <v>255</v>
      </c>
      <c r="E5" s="32" t="s">
        <v>260</v>
      </c>
      <c r="F5" s="32">
        <v>35</v>
      </c>
      <c r="G5" s="32">
        <v>117</v>
      </c>
      <c r="H5" s="88">
        <v>1.1100000000000001</v>
      </c>
      <c r="I5" s="89">
        <v>0.08</v>
      </c>
      <c r="J5" s="32">
        <v>143</v>
      </c>
      <c r="K5" s="32">
        <f>IFERROR(SUMIFS('Cable Data'!$J:$J,'Cable Data'!$A:$A,B5,'Cable Data'!$B:$B,C5,'Cable Data'!$C:$C,D5,'Cable Data'!$D:$D,E5,'Cable Data'!$E:$E,F5),"")</f>
        <v>1.1100000000000001</v>
      </c>
      <c r="L5" s="32">
        <f>IFERROR(SUMIFS('Cable Data'!$G:$G,'Cable Data'!$A:$A,B5,'Cable Data'!$B:$B,C5,'Cable Data'!$C:$C,D5,'Cable Data'!$D:$D,E5,'Cable Data'!$E:$E,F5),"")</f>
        <v>17.899999999999999</v>
      </c>
      <c r="M5" s="33"/>
      <c r="N5" s="67" t="s">
        <v>472</v>
      </c>
      <c r="O5" s="8"/>
      <c r="P5" s="8"/>
      <c r="Q5" s="8"/>
    </row>
    <row r="6" spans="1:17" x14ac:dyDescent="0.35">
      <c r="A6" s="31" t="s">
        <v>255</v>
      </c>
      <c r="B6" s="32" t="s">
        <v>178</v>
      </c>
      <c r="C6" s="32" t="s">
        <v>254</v>
      </c>
      <c r="D6" s="32" t="s">
        <v>255</v>
      </c>
      <c r="E6" s="32" t="s">
        <v>256</v>
      </c>
      <c r="F6" s="32">
        <v>50</v>
      </c>
      <c r="G6" s="32">
        <v>142</v>
      </c>
      <c r="H6" s="88">
        <v>0.82</v>
      </c>
      <c r="I6" s="89">
        <v>7.8E-2</v>
      </c>
      <c r="J6" s="32">
        <v>143</v>
      </c>
      <c r="K6" s="32">
        <f>IFERROR(SUMIFS('Cable Data'!$J:$J,'Cable Data'!$A:$A,B6,'Cable Data'!$B:$B,C6,'Cable Data'!$C:$C,D6,'Cable Data'!$D:$D,E6,'Cable Data'!$E:$E,F6),"")</f>
        <v>0.82</v>
      </c>
      <c r="L6" s="32">
        <f>IFERROR(SUMIFS('Cable Data'!$G:$G,'Cable Data'!$A:$A,B6,'Cable Data'!$B:$B,C6,'Cable Data'!$C:$C,D6,'Cable Data'!$D:$D,E6,'Cable Data'!$E:$E,F6),"")</f>
        <v>22</v>
      </c>
      <c r="M6" s="33"/>
      <c r="N6" s="67" t="s">
        <v>472</v>
      </c>
      <c r="O6" s="8"/>
      <c r="P6" s="8"/>
      <c r="Q6" s="8"/>
    </row>
    <row r="7" spans="1:17" ht="29" customHeight="1" x14ac:dyDescent="0.35">
      <c r="A7" s="31" t="s">
        <v>255</v>
      </c>
      <c r="B7" s="32" t="s">
        <v>178</v>
      </c>
      <c r="C7" s="32" t="s">
        <v>254</v>
      </c>
      <c r="D7" s="32" t="s">
        <v>255</v>
      </c>
      <c r="E7" s="32" t="s">
        <v>260</v>
      </c>
      <c r="F7" s="32">
        <v>50</v>
      </c>
      <c r="G7" s="32">
        <v>142</v>
      </c>
      <c r="H7" s="88">
        <v>0.82</v>
      </c>
      <c r="I7" s="89">
        <v>7.8E-2</v>
      </c>
      <c r="J7" s="32">
        <v>143</v>
      </c>
      <c r="K7" s="32">
        <f>IFERROR(SUMIFS('Cable Data'!$J:$J,'Cable Data'!$A:$A,B7,'Cable Data'!$B:$B,C7,'Cable Data'!$C:$C,D7,'Cable Data'!$D:$D,E7,'Cable Data'!$E:$E,F7),"")</f>
        <v>0.82</v>
      </c>
      <c r="L7" s="32">
        <f>IFERROR(SUMIFS('Cable Data'!$G:$G,'Cable Data'!$A:$A,B7,'Cable Data'!$B:$B,C7,'Cable Data'!$C:$C,D7,'Cable Data'!$D:$D,E7,'Cable Data'!$E:$E,F7),"")</f>
        <v>20.7</v>
      </c>
      <c r="M7" s="33"/>
      <c r="N7" s="67" t="s">
        <v>472</v>
      </c>
      <c r="O7" s="8"/>
      <c r="P7" s="8"/>
      <c r="Q7" s="8"/>
    </row>
    <row r="8" spans="1:17" x14ac:dyDescent="0.35">
      <c r="A8" s="31" t="s">
        <v>255</v>
      </c>
      <c r="B8" s="32" t="s">
        <v>178</v>
      </c>
      <c r="C8" s="32" t="s">
        <v>254</v>
      </c>
      <c r="D8" s="32" t="s">
        <v>255</v>
      </c>
      <c r="E8" s="32" t="s">
        <v>256</v>
      </c>
      <c r="F8" s="32">
        <v>70</v>
      </c>
      <c r="G8" s="32">
        <v>179</v>
      </c>
      <c r="H8" s="88">
        <v>0.56699999999999995</v>
      </c>
      <c r="I8" s="89">
        <v>7.6999999999999999E-2</v>
      </c>
      <c r="J8" s="32">
        <v>143</v>
      </c>
      <c r="K8" s="32">
        <f>IFERROR(SUMIFS('Cable Data'!$J:$J,'Cable Data'!$A:$A,B8,'Cable Data'!$B:$B,C8,'Cable Data'!$C:$C,D8,'Cable Data'!$D:$D,E8,'Cable Data'!$E:$E,F8),"")</f>
        <v>0.56699999999999995</v>
      </c>
      <c r="L8" s="32">
        <f>IFERROR(SUMIFS('Cable Data'!$G:$G,'Cable Data'!$A:$A,B8,'Cable Data'!$B:$B,C8,'Cable Data'!$C:$C,D8,'Cable Data'!$D:$D,E8,'Cable Data'!$E:$E,F8),"")</f>
        <v>25</v>
      </c>
      <c r="M8" s="33"/>
      <c r="N8" s="67" t="s">
        <v>472</v>
      </c>
      <c r="O8" s="8"/>
      <c r="P8" s="8"/>
      <c r="Q8" s="8"/>
    </row>
    <row r="9" spans="1:17" ht="29" customHeight="1" x14ac:dyDescent="0.35">
      <c r="A9" s="31" t="s">
        <v>255</v>
      </c>
      <c r="B9" s="32" t="s">
        <v>178</v>
      </c>
      <c r="C9" s="32" t="s">
        <v>254</v>
      </c>
      <c r="D9" s="32" t="s">
        <v>255</v>
      </c>
      <c r="E9" s="32" t="s">
        <v>260</v>
      </c>
      <c r="F9" s="32">
        <v>70</v>
      </c>
      <c r="G9" s="32">
        <v>179</v>
      </c>
      <c r="H9" s="88">
        <v>0.56699999999999995</v>
      </c>
      <c r="I9" s="89">
        <v>7.6999999999999999E-2</v>
      </c>
      <c r="J9" s="32">
        <v>143</v>
      </c>
      <c r="K9" s="32">
        <f>IFERROR(SUMIFS('Cable Data'!$J:$J,'Cable Data'!$A:$A,B9,'Cable Data'!$B:$B,C9,'Cable Data'!$C:$C,D9,'Cable Data'!$D:$D,E9,'Cable Data'!$E:$E,F9),"")</f>
        <v>0.56699999999999995</v>
      </c>
      <c r="L9" s="32">
        <f>IFERROR(SUMIFS('Cable Data'!$G:$G,'Cable Data'!$A:$A,B9,'Cable Data'!$B:$B,C9,'Cable Data'!$C:$C,D9,'Cable Data'!$D:$D,E9,'Cable Data'!$E:$E,F9),"")</f>
        <v>23.5</v>
      </c>
      <c r="M9" s="33"/>
      <c r="N9" s="67" t="s">
        <v>472</v>
      </c>
      <c r="O9" s="8"/>
      <c r="P9" s="8"/>
      <c r="Q9" s="8"/>
    </row>
    <row r="10" spans="1:17" x14ac:dyDescent="0.35">
      <c r="A10" s="31" t="s">
        <v>255</v>
      </c>
      <c r="B10" s="32" t="s">
        <v>178</v>
      </c>
      <c r="C10" s="32" t="s">
        <v>254</v>
      </c>
      <c r="D10" s="32" t="s">
        <v>255</v>
      </c>
      <c r="E10" s="32" t="s">
        <v>256</v>
      </c>
      <c r="F10" s="32">
        <v>95</v>
      </c>
      <c r="G10" s="32">
        <v>221</v>
      </c>
      <c r="H10" s="88">
        <v>0.41</v>
      </c>
      <c r="I10" s="89">
        <v>7.3999999999999996E-2</v>
      </c>
      <c r="J10" s="32">
        <v>143</v>
      </c>
      <c r="K10" s="32">
        <f>IFERROR(SUMIFS('Cable Data'!$J:$J,'Cable Data'!$A:$A,B10,'Cable Data'!$B:$B,C10,'Cable Data'!$C:$C,D10,'Cable Data'!$D:$D,E10,'Cable Data'!$E:$E,F10),"")</f>
        <v>0.41</v>
      </c>
      <c r="L10" s="32">
        <f>IFERROR(SUMIFS('Cable Data'!$G:$G,'Cable Data'!$A:$A,B10,'Cable Data'!$B:$B,C10,'Cable Data'!$C:$C,D10,'Cable Data'!$D:$D,E10,'Cable Data'!$E:$E,F10),"")</f>
        <v>28</v>
      </c>
      <c r="M10" s="33"/>
      <c r="N10" s="67" t="s">
        <v>472</v>
      </c>
      <c r="O10" s="8"/>
      <c r="P10" s="8"/>
      <c r="Q10" s="8"/>
    </row>
    <row r="11" spans="1:17" ht="29" customHeight="1" x14ac:dyDescent="0.35">
      <c r="A11" s="31" t="s">
        <v>255</v>
      </c>
      <c r="B11" s="32" t="s">
        <v>178</v>
      </c>
      <c r="C11" s="32" t="s">
        <v>254</v>
      </c>
      <c r="D11" s="32" t="s">
        <v>255</v>
      </c>
      <c r="E11" s="32" t="s">
        <v>260</v>
      </c>
      <c r="F11" s="32">
        <v>95</v>
      </c>
      <c r="G11" s="32">
        <v>221</v>
      </c>
      <c r="H11" s="88">
        <v>0.41</v>
      </c>
      <c r="I11" s="89">
        <v>7.3999999999999996E-2</v>
      </c>
      <c r="J11" s="32">
        <v>143</v>
      </c>
      <c r="K11" s="32">
        <f>IFERROR(SUMIFS('Cable Data'!$J:$J,'Cable Data'!$A:$A,B11,'Cable Data'!$B:$B,C11,'Cable Data'!$C:$C,D11,'Cable Data'!$D:$D,E11,'Cable Data'!$E:$E,F11),"")</f>
        <v>0.41</v>
      </c>
      <c r="L11" s="32">
        <f>IFERROR(SUMIFS('Cable Data'!$G:$G,'Cable Data'!$A:$A,B11,'Cable Data'!$B:$B,C11,'Cable Data'!$C:$C,D11,'Cable Data'!$D:$D,E11,'Cable Data'!$E:$E,F11),"")</f>
        <v>26.3</v>
      </c>
      <c r="M11" s="33"/>
      <c r="N11" s="67" t="s">
        <v>472</v>
      </c>
      <c r="O11" s="8"/>
      <c r="P11" s="8"/>
      <c r="Q11" s="8"/>
    </row>
    <row r="12" spans="1:17" x14ac:dyDescent="0.35">
      <c r="A12" s="31" t="s">
        <v>255</v>
      </c>
      <c r="B12" s="32" t="s">
        <v>178</v>
      </c>
      <c r="C12" s="32" t="s">
        <v>254</v>
      </c>
      <c r="D12" s="32" t="s">
        <v>255</v>
      </c>
      <c r="E12" s="32" t="s">
        <v>256</v>
      </c>
      <c r="F12" s="32">
        <v>120</v>
      </c>
      <c r="G12" s="32">
        <v>257</v>
      </c>
      <c r="H12" s="88">
        <v>0.32500000000000001</v>
      </c>
      <c r="I12" s="89">
        <v>7.1999999999999995E-2</v>
      </c>
      <c r="J12" s="32">
        <v>143</v>
      </c>
      <c r="K12" s="32">
        <f>IFERROR(SUMIFS('Cable Data'!$J:$J,'Cable Data'!$A:$A,B12,'Cable Data'!$B:$B,C12,'Cable Data'!$C:$C,D12,'Cable Data'!$D:$D,E12,'Cable Data'!$E:$E,F12),"")</f>
        <v>0.32500000000000001</v>
      </c>
      <c r="L12" s="32">
        <f>IFERROR(SUMIFS('Cable Data'!$G:$G,'Cable Data'!$A:$A,B12,'Cable Data'!$B:$B,C12,'Cable Data'!$C:$C,D12,'Cable Data'!$D:$D,E12,'Cable Data'!$E:$E,F12),"")</f>
        <v>31</v>
      </c>
      <c r="M12" s="33"/>
      <c r="N12" s="67" t="s">
        <v>472</v>
      </c>
      <c r="O12" s="8"/>
      <c r="P12" s="8"/>
      <c r="Q12" s="8"/>
    </row>
    <row r="13" spans="1:17" ht="29" customHeight="1" x14ac:dyDescent="0.35">
      <c r="A13" s="31" t="s">
        <v>255</v>
      </c>
      <c r="B13" s="32" t="s">
        <v>178</v>
      </c>
      <c r="C13" s="32" t="s">
        <v>254</v>
      </c>
      <c r="D13" s="32" t="s">
        <v>255</v>
      </c>
      <c r="E13" s="32" t="s">
        <v>260</v>
      </c>
      <c r="F13" s="32">
        <v>120</v>
      </c>
      <c r="G13" s="32">
        <v>257</v>
      </c>
      <c r="H13" s="88">
        <v>0.32500000000000001</v>
      </c>
      <c r="I13" s="89">
        <v>7.1999999999999995E-2</v>
      </c>
      <c r="J13" s="32">
        <v>143</v>
      </c>
      <c r="K13" s="32">
        <f>IFERROR(SUMIFS('Cable Data'!$J:$J,'Cable Data'!$A:$A,B13,'Cable Data'!$B:$B,C13,'Cable Data'!$C:$C,D13,'Cable Data'!$D:$D,E13,'Cable Data'!$E:$E,F13),"")</f>
        <v>0.32500000000000001</v>
      </c>
      <c r="L13" s="32">
        <f>IFERROR(SUMIFS('Cable Data'!$G:$G,'Cable Data'!$A:$A,B13,'Cable Data'!$B:$B,C13,'Cable Data'!$C:$C,D13,'Cable Data'!$D:$D,E13,'Cable Data'!$E:$E,F13),"")</f>
        <v>29.1</v>
      </c>
      <c r="M13" s="33"/>
      <c r="N13" s="67" t="s">
        <v>472</v>
      </c>
      <c r="O13" s="8"/>
      <c r="P13" s="8"/>
      <c r="Q13" s="8"/>
    </row>
    <row r="14" spans="1:17" x14ac:dyDescent="0.35">
      <c r="A14" s="31" t="s">
        <v>255</v>
      </c>
      <c r="B14" s="32" t="s">
        <v>178</v>
      </c>
      <c r="C14" s="32" t="s">
        <v>254</v>
      </c>
      <c r="D14" s="32" t="s">
        <v>255</v>
      </c>
      <c r="E14" s="32" t="s">
        <v>256</v>
      </c>
      <c r="F14" s="32">
        <v>150</v>
      </c>
      <c r="G14" s="32">
        <v>292</v>
      </c>
      <c r="H14" s="88">
        <v>0.26500000000000001</v>
      </c>
      <c r="I14" s="89">
        <v>7.1999999999999995E-2</v>
      </c>
      <c r="J14" s="32">
        <v>143</v>
      </c>
      <c r="K14" s="32">
        <f>IFERROR(SUMIFS('Cable Data'!$J:$J,'Cable Data'!$A:$A,B14,'Cable Data'!$B:$B,C14,'Cable Data'!$C:$C,D14,'Cable Data'!$D:$D,E14,'Cable Data'!$E:$E,F14),"")</f>
        <v>0.26500000000000001</v>
      </c>
      <c r="L14" s="32">
        <f>IFERROR(SUMIFS('Cable Data'!$G:$G,'Cable Data'!$A:$A,B14,'Cable Data'!$B:$B,C14,'Cable Data'!$C:$C,D14,'Cable Data'!$D:$D,E14,'Cable Data'!$E:$E,F14),"")</f>
        <v>34</v>
      </c>
      <c r="M14" s="33"/>
      <c r="N14" s="67" t="s">
        <v>472</v>
      </c>
      <c r="O14" s="8"/>
      <c r="P14" s="8"/>
      <c r="Q14" s="8"/>
    </row>
    <row r="15" spans="1:17" ht="29" customHeight="1" x14ac:dyDescent="0.35">
      <c r="A15" s="31" t="s">
        <v>255</v>
      </c>
      <c r="B15" s="32" t="s">
        <v>178</v>
      </c>
      <c r="C15" s="32" t="s">
        <v>254</v>
      </c>
      <c r="D15" s="32" t="s">
        <v>255</v>
      </c>
      <c r="E15" s="32" t="s">
        <v>260</v>
      </c>
      <c r="F15" s="32">
        <v>150</v>
      </c>
      <c r="G15" s="32">
        <v>292</v>
      </c>
      <c r="H15" s="88">
        <v>0.26500000000000001</v>
      </c>
      <c r="I15" s="89">
        <v>7.1999999999999995E-2</v>
      </c>
      <c r="J15" s="32">
        <v>143</v>
      </c>
      <c r="K15" s="32">
        <f>IFERROR(SUMIFS('Cable Data'!$J:$J,'Cable Data'!$A:$A,B15,'Cable Data'!$B:$B,C15,'Cable Data'!$C:$C,D15,'Cable Data'!$D:$D,E15,'Cable Data'!$E:$E,F15),"")</f>
        <v>0.26500000000000001</v>
      </c>
      <c r="L15" s="32">
        <f>IFERROR(SUMIFS('Cable Data'!$G:$G,'Cable Data'!$A:$A,B15,'Cable Data'!$B:$B,C15,'Cable Data'!$C:$C,D15,'Cable Data'!$D:$D,E15,'Cable Data'!$E:$E,F15),"")</f>
        <v>32</v>
      </c>
      <c r="M15" s="33"/>
      <c r="N15" s="67" t="s">
        <v>472</v>
      </c>
      <c r="O15" s="8"/>
      <c r="P15" s="8"/>
      <c r="Q15" s="8"/>
    </row>
    <row r="16" spans="1:17" x14ac:dyDescent="0.35">
      <c r="A16" s="31" t="s">
        <v>255</v>
      </c>
      <c r="B16" s="32" t="s">
        <v>178</v>
      </c>
      <c r="C16" s="32" t="s">
        <v>254</v>
      </c>
      <c r="D16" s="32" t="s">
        <v>255</v>
      </c>
      <c r="E16" s="32" t="s">
        <v>256</v>
      </c>
      <c r="F16" s="32">
        <v>185</v>
      </c>
      <c r="G16" s="32">
        <v>337</v>
      </c>
      <c r="H16" s="88">
        <v>0.21099999999999999</v>
      </c>
      <c r="I16" s="89">
        <v>7.1999999999999995E-2</v>
      </c>
      <c r="J16" s="32">
        <v>143</v>
      </c>
      <c r="K16" s="32">
        <f>IFERROR(SUMIFS('Cable Data'!$J:$J,'Cable Data'!$A:$A,B16,'Cable Data'!$B:$B,C16,'Cable Data'!$C:$C,D16,'Cable Data'!$D:$D,E16,'Cable Data'!$E:$E,F16),"")</f>
        <v>0.21099999999999999</v>
      </c>
      <c r="L16" s="32">
        <f>IFERROR(SUMIFS('Cable Data'!$G:$G,'Cable Data'!$A:$A,B16,'Cable Data'!$B:$B,C16,'Cable Data'!$C:$C,D16,'Cable Data'!$D:$D,E16,'Cable Data'!$E:$E,F16),"")</f>
        <v>38</v>
      </c>
      <c r="M16" s="33"/>
      <c r="N16" s="67" t="s">
        <v>472</v>
      </c>
      <c r="O16" s="8"/>
      <c r="P16" s="8"/>
      <c r="Q16" s="8"/>
    </row>
    <row r="17" spans="1:17" ht="29" customHeight="1" x14ac:dyDescent="0.35">
      <c r="A17" s="31" t="s">
        <v>255</v>
      </c>
      <c r="B17" s="32" t="s">
        <v>178</v>
      </c>
      <c r="C17" s="32" t="s">
        <v>254</v>
      </c>
      <c r="D17" s="32" t="s">
        <v>255</v>
      </c>
      <c r="E17" s="32" t="s">
        <v>260</v>
      </c>
      <c r="F17" s="32">
        <v>185</v>
      </c>
      <c r="G17" s="32">
        <v>337</v>
      </c>
      <c r="H17" s="88">
        <v>0.21099999999999999</v>
      </c>
      <c r="I17" s="89">
        <v>7.1999999999999995E-2</v>
      </c>
      <c r="J17" s="32">
        <v>143</v>
      </c>
      <c r="K17" s="32">
        <f>IFERROR(SUMIFS('Cable Data'!$J:$J,'Cable Data'!$A:$A,B17,'Cable Data'!$B:$B,C17,'Cable Data'!$C:$C,D17,'Cable Data'!$D:$D,E17,'Cable Data'!$E:$E,F17),"")</f>
        <v>0.21099999999999999</v>
      </c>
      <c r="L17" s="32">
        <f>IFERROR(SUMIFS('Cable Data'!$G:$G,'Cable Data'!$A:$A,B17,'Cable Data'!$B:$B,C17,'Cable Data'!$C:$C,D17,'Cable Data'!$D:$D,E17,'Cable Data'!$E:$E,F17),"")</f>
        <v>35.700000000000003</v>
      </c>
      <c r="M17" s="33"/>
      <c r="N17" s="67" t="s">
        <v>472</v>
      </c>
      <c r="O17" s="8"/>
      <c r="P17" s="8"/>
      <c r="Q17" s="8"/>
    </row>
    <row r="18" spans="1:17" x14ac:dyDescent="0.35">
      <c r="A18" s="31" t="s">
        <v>255</v>
      </c>
      <c r="B18" s="32" t="s">
        <v>178</v>
      </c>
      <c r="C18" s="32" t="s">
        <v>254</v>
      </c>
      <c r="D18" s="32" t="s">
        <v>255</v>
      </c>
      <c r="E18" s="32" t="s">
        <v>256</v>
      </c>
      <c r="F18" s="32">
        <v>240</v>
      </c>
      <c r="G18" s="32">
        <v>399</v>
      </c>
      <c r="H18" s="88">
        <v>0.16200000000000001</v>
      </c>
      <c r="I18" s="89">
        <v>7.1999999999999995E-2</v>
      </c>
      <c r="J18" s="32">
        <v>143</v>
      </c>
      <c r="K18" s="32">
        <f>IFERROR(SUMIFS('Cable Data'!$J:$J,'Cable Data'!$A:$A,B18,'Cable Data'!$B:$B,C18,'Cable Data'!$C:$C,D18,'Cable Data'!$D:$D,E18,'Cable Data'!$E:$E,F18),"")</f>
        <v>0.16200000000000001</v>
      </c>
      <c r="L18" s="32">
        <f>IFERROR(SUMIFS('Cable Data'!$G:$G,'Cable Data'!$A:$A,B18,'Cable Data'!$B:$B,C18,'Cable Data'!$C:$C,D18,'Cable Data'!$D:$D,E18,'Cable Data'!$E:$E,F18),"")</f>
        <v>43</v>
      </c>
      <c r="M18" s="33"/>
      <c r="N18" s="67" t="s">
        <v>472</v>
      </c>
      <c r="O18" s="8"/>
      <c r="P18" s="8"/>
      <c r="Q18" s="8"/>
    </row>
    <row r="19" spans="1:17" ht="29" customHeight="1" x14ac:dyDescent="0.35">
      <c r="A19" s="31" t="s">
        <v>255</v>
      </c>
      <c r="B19" s="32" t="s">
        <v>178</v>
      </c>
      <c r="C19" s="32" t="s">
        <v>254</v>
      </c>
      <c r="D19" s="32" t="s">
        <v>255</v>
      </c>
      <c r="E19" s="32" t="s">
        <v>260</v>
      </c>
      <c r="F19" s="32">
        <v>240</v>
      </c>
      <c r="G19" s="32">
        <v>399</v>
      </c>
      <c r="H19" s="88">
        <v>0.16200000000000001</v>
      </c>
      <c r="I19" s="89">
        <v>7.1999999999999995E-2</v>
      </c>
      <c r="J19" s="32">
        <v>143</v>
      </c>
      <c r="K19" s="32">
        <f>IFERROR(SUMIFS('Cable Data'!$J:$J,'Cable Data'!$A:$A,B19,'Cable Data'!$B:$B,C19,'Cable Data'!$C:$C,D19,'Cable Data'!$D:$D,E19,'Cable Data'!$E:$E,F19),"")</f>
        <v>0.16200000000000001</v>
      </c>
      <c r="L19" s="32">
        <f>IFERROR(SUMIFS('Cable Data'!$G:$G,'Cable Data'!$A:$A,B19,'Cable Data'!$B:$B,C19,'Cable Data'!$C:$C,D19,'Cable Data'!$D:$D,E19,'Cable Data'!$E:$E,F19),"")</f>
        <v>40.4</v>
      </c>
      <c r="M19" s="33"/>
      <c r="N19" s="67" t="s">
        <v>472</v>
      </c>
      <c r="O19" s="8"/>
      <c r="P19" s="8"/>
      <c r="Q19" s="8"/>
    </row>
    <row r="20" spans="1:17" x14ac:dyDescent="0.35">
      <c r="A20" s="31" t="s">
        <v>255</v>
      </c>
      <c r="B20" s="32" t="s">
        <v>178</v>
      </c>
      <c r="C20" s="32" t="s">
        <v>254</v>
      </c>
      <c r="D20" s="32" t="s">
        <v>255</v>
      </c>
      <c r="E20" s="32" t="s">
        <v>256</v>
      </c>
      <c r="F20" s="32">
        <v>300</v>
      </c>
      <c r="G20" s="32">
        <v>455</v>
      </c>
      <c r="H20" s="88">
        <v>0.13</v>
      </c>
      <c r="I20" s="89">
        <v>7.0999999999999994E-2</v>
      </c>
      <c r="J20" s="32">
        <v>143</v>
      </c>
      <c r="K20" s="32">
        <f>IFERROR(SUMIFS('Cable Data'!$J:$J,'Cable Data'!$A:$A,B20,'Cable Data'!$B:$B,C20,'Cable Data'!$C:$C,D20,'Cable Data'!$D:$D,E20,'Cable Data'!$E:$E,F20),"")</f>
        <v>0.13</v>
      </c>
      <c r="L20" s="32">
        <f>IFERROR(SUMIFS('Cable Data'!$G:$G,'Cable Data'!$A:$A,B20,'Cable Data'!$B:$B,C20,'Cable Data'!$C:$C,D20,'Cable Data'!$D:$D,E20,'Cable Data'!$E:$E,F20),"")</f>
        <v>48</v>
      </c>
      <c r="M20" s="33"/>
      <c r="N20" s="67" t="s">
        <v>472</v>
      </c>
      <c r="O20" s="8"/>
      <c r="P20" s="8"/>
      <c r="Q20" s="8"/>
    </row>
    <row r="21" spans="1:17" ht="29" customHeight="1" x14ac:dyDescent="0.35">
      <c r="A21" s="31" t="s">
        <v>255</v>
      </c>
      <c r="B21" s="32" t="s">
        <v>178</v>
      </c>
      <c r="C21" s="32" t="s">
        <v>254</v>
      </c>
      <c r="D21" s="32" t="s">
        <v>255</v>
      </c>
      <c r="E21" s="32" t="s">
        <v>260</v>
      </c>
      <c r="F21" s="32">
        <v>300</v>
      </c>
      <c r="G21" s="32">
        <v>455</v>
      </c>
      <c r="H21" s="88">
        <v>0.13</v>
      </c>
      <c r="I21" s="89">
        <v>7.0999999999999994E-2</v>
      </c>
      <c r="J21" s="32">
        <v>143</v>
      </c>
      <c r="K21" s="32">
        <f>IFERROR(SUMIFS('Cable Data'!$J:$J,'Cable Data'!$A:$A,B21,'Cable Data'!$B:$B,C21,'Cable Data'!$C:$C,D21,'Cable Data'!$D:$D,E21,'Cable Data'!$E:$E,F21),"")</f>
        <v>0.13</v>
      </c>
      <c r="L21" s="32">
        <f>IFERROR(SUMIFS('Cable Data'!$G:$G,'Cable Data'!$A:$A,B21,'Cable Data'!$B:$B,C21,'Cable Data'!$C:$C,D21,'Cable Data'!$D:$D,E21,'Cable Data'!$E:$E,F21),"")</f>
        <v>45.1</v>
      </c>
      <c r="M21" s="33"/>
      <c r="N21" s="67" t="s">
        <v>472</v>
      </c>
      <c r="O21" s="8"/>
      <c r="P21" s="8"/>
      <c r="Q21" s="8"/>
    </row>
    <row r="22" spans="1:17" x14ac:dyDescent="0.35">
      <c r="A22" s="31" t="s">
        <v>255</v>
      </c>
      <c r="B22" s="32" t="s">
        <v>178</v>
      </c>
      <c r="C22" s="32" t="s">
        <v>254</v>
      </c>
      <c r="D22" s="32" t="s">
        <v>255</v>
      </c>
      <c r="E22" s="32" t="s">
        <v>256</v>
      </c>
      <c r="F22" s="32">
        <v>400</v>
      </c>
      <c r="G22" s="32">
        <v>530</v>
      </c>
      <c r="H22" s="88">
        <v>0.1023</v>
      </c>
      <c r="I22" s="89">
        <v>7.0000000000000007E-2</v>
      </c>
      <c r="J22" s="32">
        <v>143</v>
      </c>
      <c r="K22" s="32">
        <f>IFERROR(SUMIFS('Cable Data'!$J:$J,'Cable Data'!$A:$A,B22,'Cable Data'!$B:$B,C22,'Cable Data'!$C:$C,D22,'Cable Data'!$D:$D,E22,'Cable Data'!$E:$E,F22),"")</f>
        <v>0.1023</v>
      </c>
      <c r="L22" s="32">
        <f>IFERROR(SUMIFS('Cable Data'!$G:$G,'Cable Data'!$A:$A,B22,'Cable Data'!$B:$B,C22,'Cable Data'!$C:$C,D22,'Cable Data'!$D:$D,E22,'Cable Data'!$E:$E,F22),"")</f>
        <v>54</v>
      </c>
      <c r="M22" s="33"/>
      <c r="N22" s="67" t="s">
        <v>472</v>
      </c>
      <c r="O22" s="8"/>
      <c r="P22" s="8"/>
      <c r="Q22" s="8"/>
    </row>
    <row r="23" spans="1:17" ht="29" customHeight="1" x14ac:dyDescent="0.35">
      <c r="A23" s="31" t="s">
        <v>255</v>
      </c>
      <c r="B23" s="32" t="s">
        <v>178</v>
      </c>
      <c r="C23" s="32" t="s">
        <v>254</v>
      </c>
      <c r="D23" s="32" t="s">
        <v>255</v>
      </c>
      <c r="E23" s="32" t="s">
        <v>260</v>
      </c>
      <c r="F23" s="32">
        <v>400</v>
      </c>
      <c r="G23" s="32">
        <v>530</v>
      </c>
      <c r="H23" s="88">
        <v>0.1023</v>
      </c>
      <c r="I23" s="89">
        <v>7.0000000000000007E-2</v>
      </c>
      <c r="J23" s="32">
        <v>143</v>
      </c>
      <c r="K23" s="32">
        <f>IFERROR(SUMIFS('Cable Data'!$J:$J,'Cable Data'!$A:$A,B23,'Cable Data'!$B:$B,C23,'Cable Data'!$C:$C,D23,'Cable Data'!$D:$D,E23,'Cable Data'!$E:$E,F23),"")</f>
        <v>0.1023</v>
      </c>
      <c r="L23" s="32">
        <f>IFERROR(SUMIFS('Cable Data'!$G:$G,'Cable Data'!$A:$A,B23,'Cable Data'!$B:$B,C23,'Cable Data'!$C:$C,D23,'Cable Data'!$D:$D,E23,'Cable Data'!$E:$E,F23),"")</f>
        <v>50.8</v>
      </c>
      <c r="M23" s="33"/>
      <c r="N23" s="67" t="s">
        <v>472</v>
      </c>
      <c r="O23" s="8"/>
      <c r="P23" s="8"/>
      <c r="Q23" s="8"/>
    </row>
    <row r="24" spans="1:17" x14ac:dyDescent="0.35">
      <c r="A24" s="31" t="s">
        <v>255</v>
      </c>
      <c r="B24" s="32" t="s">
        <v>282</v>
      </c>
      <c r="C24" s="32" t="s">
        <v>254</v>
      </c>
      <c r="D24" s="32" t="s">
        <v>255</v>
      </c>
      <c r="E24" s="32" t="s">
        <v>256</v>
      </c>
      <c r="F24" s="32">
        <v>16</v>
      </c>
      <c r="G24" s="32">
        <v>73</v>
      </c>
      <c r="H24" s="88">
        <v>1.54</v>
      </c>
      <c r="I24" s="89">
        <v>0.08</v>
      </c>
      <c r="J24" s="32">
        <v>143</v>
      </c>
      <c r="K24" s="32">
        <f>IFERROR(SUMIFS('Cable Data'!$J:$J,'Cable Data'!$A:$A,B24,'Cable Data'!$B:$B,C24,'Cable Data'!$C:$C,D24,'Cable Data'!$D:$D,E24,'Cable Data'!$E:$E,F24),"")</f>
        <v>4.24</v>
      </c>
      <c r="L24" s="32">
        <f>IFERROR(SUMIFS('Cable Data'!$G:$G,'Cable Data'!$A:$A,B24,'Cable Data'!$B:$B,C24,'Cable Data'!$C:$C,D24,'Cable Data'!$D:$D,E24,'Cable Data'!$E:$E,F24),"")</f>
        <v>15.9</v>
      </c>
      <c r="M24" s="33"/>
      <c r="N24" s="67" t="s">
        <v>472</v>
      </c>
      <c r="O24" s="8"/>
      <c r="P24" s="8"/>
      <c r="Q24" s="8"/>
    </row>
    <row r="25" spans="1:17" ht="29" customHeight="1" x14ac:dyDescent="0.35">
      <c r="A25" s="31" t="s">
        <v>255</v>
      </c>
      <c r="B25" s="32" t="s">
        <v>282</v>
      </c>
      <c r="C25" s="32" t="s">
        <v>254</v>
      </c>
      <c r="D25" s="32" t="s">
        <v>255</v>
      </c>
      <c r="E25" s="32" t="s">
        <v>260</v>
      </c>
      <c r="F25" s="32">
        <v>16</v>
      </c>
      <c r="G25" s="32">
        <v>73</v>
      </c>
      <c r="H25" s="88">
        <v>1.54</v>
      </c>
      <c r="I25" s="89">
        <v>0.08</v>
      </c>
      <c r="J25" s="32">
        <v>143</v>
      </c>
      <c r="K25" s="32">
        <f>IFERROR(SUMIFS('Cable Data'!$J:$J,'Cable Data'!$A:$A,B25,'Cable Data'!$B:$B,C25,'Cable Data'!$C:$C,D25,'Cable Data'!$D:$D,E25,'Cable Data'!$E:$E,F25),"")</f>
        <v>4.24</v>
      </c>
      <c r="L25" s="32">
        <f>IFERROR(SUMIFS('Cable Data'!$G:$G,'Cable Data'!$A:$A,B25,'Cable Data'!$B:$B,C25,'Cable Data'!$C:$C,D25,'Cable Data'!$D:$D,E25,'Cable Data'!$E:$E,F25),"")</f>
        <v>14.9</v>
      </c>
      <c r="M25" s="33"/>
      <c r="N25" s="67" t="s">
        <v>472</v>
      </c>
      <c r="O25" s="8"/>
      <c r="P25" s="8"/>
      <c r="Q25" s="8"/>
    </row>
    <row r="26" spans="1:17" x14ac:dyDescent="0.35">
      <c r="A26" s="31" t="s">
        <v>255</v>
      </c>
      <c r="B26" s="32" t="s">
        <v>282</v>
      </c>
      <c r="C26" s="32" t="s">
        <v>254</v>
      </c>
      <c r="D26" s="32" t="s">
        <v>255</v>
      </c>
      <c r="E26" s="32" t="s">
        <v>256</v>
      </c>
      <c r="F26" s="32">
        <v>25</v>
      </c>
      <c r="G26" s="32">
        <v>95</v>
      </c>
      <c r="H26" s="88">
        <v>1.54</v>
      </c>
      <c r="I26" s="89">
        <v>0.08</v>
      </c>
      <c r="J26" s="32">
        <v>143</v>
      </c>
      <c r="K26" s="32">
        <f>IFERROR(SUMIFS('Cable Data'!$J:$J,'Cable Data'!$A:$A,B26,'Cable Data'!$B:$B,C26,'Cable Data'!$C:$C,D26,'Cable Data'!$D:$D,E26,'Cable Data'!$E:$E,F26),"")</f>
        <v>2.67</v>
      </c>
      <c r="L26" s="32">
        <f>IFERROR(SUMIFS('Cable Data'!$G:$G,'Cable Data'!$A:$A,B26,'Cable Data'!$B:$B,C26,'Cable Data'!$C:$C,D26,'Cable Data'!$D:$D,E26,'Cable Data'!$E:$E,F26),"")</f>
        <v>18.600000000000001</v>
      </c>
      <c r="M26" s="33"/>
      <c r="N26" s="67" t="s">
        <v>472</v>
      </c>
      <c r="O26" s="8"/>
      <c r="P26" s="8"/>
      <c r="Q26" s="8"/>
    </row>
    <row r="27" spans="1:17" ht="29" customHeight="1" x14ac:dyDescent="0.35">
      <c r="A27" s="31" t="s">
        <v>255</v>
      </c>
      <c r="B27" s="32" t="s">
        <v>282</v>
      </c>
      <c r="C27" s="32" t="s">
        <v>254</v>
      </c>
      <c r="D27" s="32" t="s">
        <v>255</v>
      </c>
      <c r="E27" s="32" t="s">
        <v>260</v>
      </c>
      <c r="F27" s="32">
        <v>25</v>
      </c>
      <c r="G27" s="32">
        <v>95</v>
      </c>
      <c r="H27" s="88">
        <v>1.54</v>
      </c>
      <c r="I27" s="89">
        <v>0.08</v>
      </c>
      <c r="J27" s="32">
        <v>143</v>
      </c>
      <c r="K27" s="32">
        <f>IFERROR(SUMIFS('Cable Data'!$J:$J,'Cable Data'!$A:$A,B27,'Cable Data'!$B:$B,C27,'Cable Data'!$C:$C,D27,'Cable Data'!$D:$D,E27,'Cable Data'!$E:$E,F27),"")</f>
        <v>2.67</v>
      </c>
      <c r="L27" s="32">
        <f>IFERROR(SUMIFS('Cable Data'!$G:$G,'Cable Data'!$A:$A,B27,'Cable Data'!$B:$B,C27,'Cable Data'!$C:$C,D27,'Cable Data'!$D:$D,E27,'Cable Data'!$E:$E,F27),"")</f>
        <v>17.399999999999999</v>
      </c>
      <c r="M27" s="33"/>
      <c r="N27" s="67" t="s">
        <v>472</v>
      </c>
      <c r="O27" s="8"/>
      <c r="P27" s="8"/>
      <c r="Q27" s="8"/>
    </row>
    <row r="28" spans="1:17" x14ac:dyDescent="0.35">
      <c r="A28" s="31" t="s">
        <v>255</v>
      </c>
      <c r="B28" s="32" t="s">
        <v>282</v>
      </c>
      <c r="C28" s="32" t="s">
        <v>254</v>
      </c>
      <c r="D28" s="32" t="s">
        <v>255</v>
      </c>
      <c r="E28" s="32" t="s">
        <v>256</v>
      </c>
      <c r="F28" s="32">
        <v>35</v>
      </c>
      <c r="G28" s="32">
        <v>114</v>
      </c>
      <c r="H28" s="88">
        <v>1.1100000000000001</v>
      </c>
      <c r="I28" s="89">
        <v>0.08</v>
      </c>
      <c r="J28" s="32">
        <v>143</v>
      </c>
      <c r="K28" s="32">
        <f>IFERROR(SUMIFS('Cable Data'!$J:$J,'Cable Data'!$A:$A,B28,'Cable Data'!$B:$B,C28,'Cable Data'!$C:$C,D28,'Cable Data'!$D:$D,E28,'Cable Data'!$E:$E,F28),"")</f>
        <v>1.94</v>
      </c>
      <c r="L28" s="32">
        <f>IFERROR(SUMIFS('Cable Data'!$G:$G,'Cable Data'!$A:$A,B28,'Cable Data'!$B:$B,C28,'Cable Data'!$C:$C,D28,'Cable Data'!$D:$D,E28,'Cable Data'!$E:$E,F28),"")</f>
        <v>20.100000000000001</v>
      </c>
      <c r="M28" s="33"/>
      <c r="N28" s="67" t="s">
        <v>472</v>
      </c>
      <c r="O28" s="8"/>
      <c r="P28" s="8"/>
      <c r="Q28" s="8"/>
    </row>
    <row r="29" spans="1:17" ht="29" customHeight="1" x14ac:dyDescent="0.35">
      <c r="A29" s="31" t="s">
        <v>255</v>
      </c>
      <c r="B29" s="32" t="s">
        <v>282</v>
      </c>
      <c r="C29" s="32" t="s">
        <v>254</v>
      </c>
      <c r="D29" s="32" t="s">
        <v>255</v>
      </c>
      <c r="E29" s="32" t="s">
        <v>260</v>
      </c>
      <c r="F29" s="32">
        <v>35</v>
      </c>
      <c r="G29" s="32">
        <v>114</v>
      </c>
      <c r="H29" s="88">
        <v>1.1100000000000001</v>
      </c>
      <c r="I29" s="89">
        <v>0.08</v>
      </c>
      <c r="J29" s="32">
        <v>143</v>
      </c>
      <c r="K29" s="32">
        <f>IFERROR(SUMIFS('Cable Data'!$J:$J,'Cable Data'!$A:$A,B29,'Cable Data'!$B:$B,C29,'Cable Data'!$C:$C,D29,'Cable Data'!$D:$D,E29,'Cable Data'!$E:$E,F29),"")</f>
        <v>1.94</v>
      </c>
      <c r="L29" s="32">
        <f>IFERROR(SUMIFS('Cable Data'!$G:$G,'Cable Data'!$A:$A,B29,'Cable Data'!$B:$B,C29,'Cable Data'!$C:$C,D29,'Cable Data'!$D:$D,E29,'Cable Data'!$E:$E,F29),"")</f>
        <v>18.899999999999999</v>
      </c>
      <c r="M29" s="33"/>
      <c r="N29" s="67" t="s">
        <v>472</v>
      </c>
      <c r="O29" s="8"/>
      <c r="P29" s="8"/>
      <c r="Q29" s="8"/>
    </row>
    <row r="30" spans="1:17" x14ac:dyDescent="0.35">
      <c r="A30" s="31" t="s">
        <v>255</v>
      </c>
      <c r="B30" s="32" t="s">
        <v>282</v>
      </c>
      <c r="C30" s="32" t="s">
        <v>254</v>
      </c>
      <c r="D30" s="32" t="s">
        <v>255</v>
      </c>
      <c r="E30" s="32" t="s">
        <v>256</v>
      </c>
      <c r="F30" s="32">
        <v>50</v>
      </c>
      <c r="G30" s="32">
        <v>138</v>
      </c>
      <c r="H30" s="88">
        <v>0.82</v>
      </c>
      <c r="I30" s="89">
        <v>7.8E-2</v>
      </c>
      <c r="J30" s="32">
        <v>143</v>
      </c>
      <c r="K30" s="32">
        <f>IFERROR(SUMIFS('Cable Data'!$J:$J,'Cable Data'!$A:$A,B30,'Cable Data'!$B:$B,C30,'Cable Data'!$C:$C,D30,'Cable Data'!$D:$D,E30,'Cable Data'!$E:$E,F30),"")</f>
        <v>1.44</v>
      </c>
      <c r="L30" s="32">
        <f>IFERROR(SUMIFS('Cable Data'!$G:$G,'Cable Data'!$A:$A,B30,'Cable Data'!$B:$B,C30,'Cable Data'!$C:$C,D30,'Cable Data'!$D:$D,E30,'Cable Data'!$E:$E,F30),"")</f>
        <v>23.3</v>
      </c>
      <c r="M30" s="33"/>
      <c r="N30" s="67" t="s">
        <v>472</v>
      </c>
      <c r="O30" s="8"/>
      <c r="P30" s="8"/>
      <c r="Q30" s="8"/>
    </row>
    <row r="31" spans="1:17" ht="29" customHeight="1" x14ac:dyDescent="0.35">
      <c r="A31" s="31" t="s">
        <v>255</v>
      </c>
      <c r="B31" s="32" t="s">
        <v>282</v>
      </c>
      <c r="C31" s="32" t="s">
        <v>254</v>
      </c>
      <c r="D31" s="32" t="s">
        <v>255</v>
      </c>
      <c r="E31" s="32" t="s">
        <v>260</v>
      </c>
      <c r="F31" s="32">
        <v>50</v>
      </c>
      <c r="G31" s="32">
        <v>138</v>
      </c>
      <c r="H31" s="88">
        <v>0.82</v>
      </c>
      <c r="I31" s="89">
        <v>7.8E-2</v>
      </c>
      <c r="J31" s="32">
        <v>143</v>
      </c>
      <c r="K31" s="32">
        <f>IFERROR(SUMIFS('Cable Data'!$J:$J,'Cable Data'!$A:$A,B31,'Cable Data'!$B:$B,C31,'Cable Data'!$C:$C,D31,'Cable Data'!$D:$D,E31,'Cable Data'!$E:$E,F31),"")</f>
        <v>1.44</v>
      </c>
      <c r="L31" s="32">
        <f>IFERROR(SUMIFS('Cable Data'!$G:$G,'Cable Data'!$A:$A,B31,'Cable Data'!$B:$B,C31,'Cable Data'!$C:$C,D31,'Cable Data'!$D:$D,E31,'Cable Data'!$E:$E,F31),"")</f>
        <v>21.9</v>
      </c>
      <c r="M31" s="33"/>
      <c r="N31" s="67" t="s">
        <v>472</v>
      </c>
      <c r="O31" s="8"/>
      <c r="P31" s="8"/>
      <c r="Q31" s="8"/>
    </row>
    <row r="32" spans="1:17" x14ac:dyDescent="0.35">
      <c r="A32" s="31" t="s">
        <v>255</v>
      </c>
      <c r="B32" s="32" t="s">
        <v>282</v>
      </c>
      <c r="C32" s="32" t="s">
        <v>254</v>
      </c>
      <c r="D32" s="32" t="s">
        <v>255</v>
      </c>
      <c r="E32" s="32" t="s">
        <v>256</v>
      </c>
      <c r="F32" s="32">
        <v>70</v>
      </c>
      <c r="G32" s="32">
        <v>175</v>
      </c>
      <c r="H32" s="88">
        <v>0.56699999999999995</v>
      </c>
      <c r="I32" s="89">
        <v>7.6999999999999999E-2</v>
      </c>
      <c r="J32" s="32">
        <v>143</v>
      </c>
      <c r="K32" s="32">
        <f>IFERROR(SUMIFS('Cable Data'!$J:$J,'Cable Data'!$A:$A,B32,'Cable Data'!$B:$B,C32,'Cable Data'!$C:$C,D32,'Cable Data'!$D:$D,E32,'Cable Data'!$E:$E,F32),"")</f>
        <v>1</v>
      </c>
      <c r="L32" s="32">
        <f>IFERROR(SUMIFS('Cable Data'!$G:$G,'Cable Data'!$A:$A,B32,'Cable Data'!$B:$B,C32,'Cable Data'!$C:$C,D32,'Cable Data'!$D:$D,E32,'Cable Data'!$E:$E,F32),"")</f>
        <v>26.5</v>
      </c>
      <c r="M32" s="33"/>
      <c r="N32" s="67" t="s">
        <v>472</v>
      </c>
      <c r="O32" s="8"/>
      <c r="P32" s="8"/>
      <c r="Q32" s="8"/>
    </row>
    <row r="33" spans="1:17" ht="29" customHeight="1" x14ac:dyDescent="0.35">
      <c r="A33" s="31" t="s">
        <v>255</v>
      </c>
      <c r="B33" s="32" t="s">
        <v>282</v>
      </c>
      <c r="C33" s="32" t="s">
        <v>254</v>
      </c>
      <c r="D33" s="32" t="s">
        <v>255</v>
      </c>
      <c r="E33" s="32" t="s">
        <v>260</v>
      </c>
      <c r="F33" s="32">
        <v>70</v>
      </c>
      <c r="G33" s="32">
        <v>175</v>
      </c>
      <c r="H33" s="88">
        <v>0.56699999999999995</v>
      </c>
      <c r="I33" s="89">
        <v>7.6999999999999999E-2</v>
      </c>
      <c r="J33" s="32">
        <v>143</v>
      </c>
      <c r="K33" s="32">
        <f>IFERROR(SUMIFS('Cable Data'!$J:$J,'Cable Data'!$A:$A,B33,'Cable Data'!$B:$B,C33,'Cable Data'!$C:$C,D33,'Cable Data'!$D:$D,E33,'Cable Data'!$E:$E,F33),"")</f>
        <v>1</v>
      </c>
      <c r="L33" s="32">
        <f>IFERROR(SUMIFS('Cable Data'!$G:$G,'Cable Data'!$A:$A,B33,'Cable Data'!$B:$B,C33,'Cable Data'!$C:$C,D33,'Cable Data'!$D:$D,E33,'Cable Data'!$E:$E,F33),"")</f>
        <v>24.9</v>
      </c>
      <c r="M33" s="33"/>
      <c r="N33" s="67" t="s">
        <v>472</v>
      </c>
      <c r="O33" s="8"/>
      <c r="P33" s="8"/>
      <c r="Q33" s="8"/>
    </row>
    <row r="34" spans="1:17" x14ac:dyDescent="0.35">
      <c r="A34" s="31" t="s">
        <v>255</v>
      </c>
      <c r="B34" s="32" t="s">
        <v>282</v>
      </c>
      <c r="C34" s="32" t="s">
        <v>254</v>
      </c>
      <c r="D34" s="32" t="s">
        <v>255</v>
      </c>
      <c r="E34" s="32" t="s">
        <v>256</v>
      </c>
      <c r="F34" s="32">
        <v>95</v>
      </c>
      <c r="G34" s="32">
        <v>216</v>
      </c>
      <c r="H34" s="88">
        <v>0.41</v>
      </c>
      <c r="I34" s="89">
        <v>7.3999999999999996E-2</v>
      </c>
      <c r="J34" s="32">
        <v>143</v>
      </c>
      <c r="K34" s="32">
        <f>IFERROR(SUMIFS('Cable Data'!$J:$J,'Cable Data'!$A:$A,B34,'Cable Data'!$B:$B,C34,'Cable Data'!$C:$C,D34,'Cable Data'!$D:$D,E34,'Cable Data'!$E:$E,F34),"")</f>
        <v>0.7</v>
      </c>
      <c r="L34" s="32">
        <f>IFERROR(SUMIFS('Cable Data'!$G:$G,'Cable Data'!$A:$A,B34,'Cable Data'!$B:$B,C34,'Cable Data'!$C:$C,D34,'Cable Data'!$D:$D,E34,'Cable Data'!$E:$E,F34),"")</f>
        <v>29.7</v>
      </c>
      <c r="M34" s="33"/>
      <c r="N34" s="67" t="s">
        <v>472</v>
      </c>
      <c r="O34" s="8"/>
      <c r="P34" s="8"/>
      <c r="Q34" s="8"/>
    </row>
    <row r="35" spans="1:17" ht="29" customHeight="1" x14ac:dyDescent="0.35">
      <c r="A35" s="31" t="s">
        <v>255</v>
      </c>
      <c r="B35" s="32" t="s">
        <v>282</v>
      </c>
      <c r="C35" s="32" t="s">
        <v>254</v>
      </c>
      <c r="D35" s="32" t="s">
        <v>255</v>
      </c>
      <c r="E35" s="32" t="s">
        <v>260</v>
      </c>
      <c r="F35" s="32">
        <v>95</v>
      </c>
      <c r="G35" s="32">
        <v>216</v>
      </c>
      <c r="H35" s="88">
        <v>0.41</v>
      </c>
      <c r="I35" s="89">
        <v>7.3999999999999996E-2</v>
      </c>
      <c r="J35" s="32">
        <v>143</v>
      </c>
      <c r="K35" s="32">
        <f>IFERROR(SUMIFS('Cable Data'!$J:$J,'Cable Data'!$A:$A,B35,'Cable Data'!$B:$B,C35,'Cable Data'!$C:$C,D35,'Cable Data'!$D:$D,E35,'Cable Data'!$E:$E,F35),"")</f>
        <v>0.7</v>
      </c>
      <c r="L35" s="32">
        <f>IFERROR(SUMIFS('Cable Data'!$G:$G,'Cable Data'!$A:$A,B35,'Cable Data'!$B:$B,C35,'Cable Data'!$C:$C,D35,'Cable Data'!$D:$D,E35,'Cable Data'!$E:$E,F35),"")</f>
        <v>27.9</v>
      </c>
      <c r="M35" s="33"/>
      <c r="N35" s="67" t="s">
        <v>472</v>
      </c>
      <c r="O35" s="8"/>
      <c r="P35" s="8"/>
      <c r="Q35" s="8"/>
    </row>
    <row r="36" spans="1:17" x14ac:dyDescent="0.35">
      <c r="A36" s="31" t="s">
        <v>255</v>
      </c>
      <c r="B36" s="32" t="s">
        <v>282</v>
      </c>
      <c r="C36" s="32" t="s">
        <v>254</v>
      </c>
      <c r="D36" s="32" t="s">
        <v>255</v>
      </c>
      <c r="E36" s="32" t="s">
        <v>256</v>
      </c>
      <c r="F36" s="32">
        <v>120</v>
      </c>
      <c r="G36" s="32">
        <v>249</v>
      </c>
      <c r="H36" s="88">
        <v>0.32500000000000001</v>
      </c>
      <c r="I36" s="89">
        <v>7.1999999999999995E-2</v>
      </c>
      <c r="J36" s="32">
        <v>143</v>
      </c>
      <c r="K36" s="32">
        <f>IFERROR(SUMIFS('Cable Data'!$J:$J,'Cable Data'!$A:$A,B36,'Cable Data'!$B:$B,C36,'Cable Data'!$C:$C,D36,'Cable Data'!$D:$D,E36,'Cable Data'!$E:$E,F36),"")</f>
        <v>0.56000000000000005</v>
      </c>
      <c r="L36" s="32">
        <f>IFERROR(SUMIFS('Cable Data'!$G:$G,'Cable Data'!$A:$A,B36,'Cable Data'!$B:$B,C36,'Cable Data'!$C:$C,D36,'Cable Data'!$D:$D,E36,'Cable Data'!$E:$E,F36),"")</f>
        <v>32.9</v>
      </c>
      <c r="M36" s="33"/>
      <c r="N36" s="67" t="s">
        <v>472</v>
      </c>
      <c r="O36" s="8"/>
      <c r="P36" s="8"/>
      <c r="Q36" s="8"/>
    </row>
    <row r="37" spans="1:17" ht="29" customHeight="1" x14ac:dyDescent="0.35">
      <c r="A37" s="31" t="s">
        <v>255</v>
      </c>
      <c r="B37" s="32" t="s">
        <v>282</v>
      </c>
      <c r="C37" s="32" t="s">
        <v>254</v>
      </c>
      <c r="D37" s="32" t="s">
        <v>255</v>
      </c>
      <c r="E37" s="32" t="s">
        <v>260</v>
      </c>
      <c r="F37" s="32">
        <v>120</v>
      </c>
      <c r="G37" s="32">
        <v>249</v>
      </c>
      <c r="H37" s="88">
        <v>0.32500000000000001</v>
      </c>
      <c r="I37" s="89">
        <v>7.1999999999999995E-2</v>
      </c>
      <c r="J37" s="32">
        <v>143</v>
      </c>
      <c r="K37" s="32">
        <f>IFERROR(SUMIFS('Cable Data'!$J:$J,'Cable Data'!$A:$A,B37,'Cable Data'!$B:$B,C37,'Cable Data'!$C:$C,D37,'Cable Data'!$D:$D,E37,'Cable Data'!$E:$E,F37),"")</f>
        <v>0.56000000000000005</v>
      </c>
      <c r="L37" s="32">
        <f>IFERROR(SUMIFS('Cable Data'!$G:$G,'Cable Data'!$A:$A,B37,'Cable Data'!$B:$B,C37,'Cable Data'!$C:$C,D37,'Cable Data'!$D:$D,E37,'Cable Data'!$E:$E,F37),"")</f>
        <v>30.9</v>
      </c>
      <c r="M37" s="33"/>
      <c r="N37" s="67" t="s">
        <v>472</v>
      </c>
      <c r="O37" s="8"/>
      <c r="P37" s="8"/>
      <c r="Q37" s="8"/>
    </row>
    <row r="38" spans="1:17" x14ac:dyDescent="0.35">
      <c r="A38" s="31" t="s">
        <v>255</v>
      </c>
      <c r="B38" s="32" t="s">
        <v>282</v>
      </c>
      <c r="C38" s="32" t="s">
        <v>254</v>
      </c>
      <c r="D38" s="32" t="s">
        <v>255</v>
      </c>
      <c r="E38" s="32" t="s">
        <v>256</v>
      </c>
      <c r="F38" s="32">
        <v>150</v>
      </c>
      <c r="G38" s="32">
        <v>284</v>
      </c>
      <c r="H38" s="88">
        <v>0.26500000000000001</v>
      </c>
      <c r="I38" s="89">
        <v>7.1999999999999995E-2</v>
      </c>
      <c r="J38" s="32">
        <v>143</v>
      </c>
      <c r="K38" s="32">
        <f>IFERROR(SUMIFS('Cable Data'!$J:$J,'Cable Data'!$A:$A,B38,'Cable Data'!$B:$B,C38,'Cable Data'!$C:$C,D38,'Cable Data'!$D:$D,E38,'Cable Data'!$E:$E,F38),"")</f>
        <v>0.48</v>
      </c>
      <c r="L38" s="32">
        <f>IFERROR(SUMIFS('Cable Data'!$G:$G,'Cable Data'!$A:$A,B38,'Cable Data'!$B:$B,C38,'Cable Data'!$C:$C,D38,'Cable Data'!$D:$D,E38,'Cable Data'!$E:$E,F38),"")</f>
        <v>36</v>
      </c>
      <c r="M38" s="33"/>
      <c r="N38" s="67" t="s">
        <v>472</v>
      </c>
      <c r="O38" s="8"/>
      <c r="P38" s="8"/>
      <c r="Q38" s="8"/>
    </row>
    <row r="39" spans="1:17" ht="29" customHeight="1" x14ac:dyDescent="0.35">
      <c r="A39" s="31" t="s">
        <v>255</v>
      </c>
      <c r="B39" s="32" t="s">
        <v>282</v>
      </c>
      <c r="C39" s="32" t="s">
        <v>254</v>
      </c>
      <c r="D39" s="32" t="s">
        <v>255</v>
      </c>
      <c r="E39" s="32" t="s">
        <v>260</v>
      </c>
      <c r="F39" s="32">
        <v>150</v>
      </c>
      <c r="G39" s="32">
        <v>284</v>
      </c>
      <c r="H39" s="88">
        <v>0.26500000000000001</v>
      </c>
      <c r="I39" s="89">
        <v>7.1999999999999995E-2</v>
      </c>
      <c r="J39" s="32">
        <v>143</v>
      </c>
      <c r="K39" s="32">
        <f>IFERROR(SUMIFS('Cable Data'!$J:$J,'Cable Data'!$A:$A,B39,'Cable Data'!$B:$B,C39,'Cable Data'!$C:$C,D39,'Cable Data'!$D:$D,E39,'Cable Data'!$E:$E,F39),"")</f>
        <v>0.48</v>
      </c>
      <c r="L39" s="32">
        <f>IFERROR(SUMIFS('Cable Data'!$G:$G,'Cable Data'!$A:$A,B39,'Cable Data'!$B:$B,C39,'Cable Data'!$C:$C,D39,'Cable Data'!$D:$D,E39,'Cable Data'!$E:$E,F39),"")</f>
        <v>33.9</v>
      </c>
      <c r="M39" s="33"/>
      <c r="N39" s="67" t="s">
        <v>472</v>
      </c>
      <c r="O39" s="8"/>
      <c r="P39" s="8"/>
      <c r="Q39" s="8"/>
    </row>
    <row r="40" spans="1:17" x14ac:dyDescent="0.35">
      <c r="A40" s="31" t="s">
        <v>255</v>
      </c>
      <c r="B40" s="32" t="s">
        <v>282</v>
      </c>
      <c r="C40" s="32" t="s">
        <v>254</v>
      </c>
      <c r="D40" s="32" t="s">
        <v>255</v>
      </c>
      <c r="E40" s="32" t="s">
        <v>256</v>
      </c>
      <c r="F40" s="32">
        <v>185</v>
      </c>
      <c r="G40" s="32">
        <v>329</v>
      </c>
      <c r="H40" s="88">
        <v>0.21099999999999999</v>
      </c>
      <c r="I40" s="89">
        <v>7.1999999999999995E-2</v>
      </c>
      <c r="J40" s="32">
        <v>143</v>
      </c>
      <c r="K40" s="32">
        <f>IFERROR(SUMIFS('Cable Data'!$J:$J,'Cable Data'!$A:$A,B40,'Cable Data'!$B:$B,C40,'Cable Data'!$C:$C,D40,'Cable Data'!$D:$D,E40,'Cable Data'!$E:$E,F40),"")</f>
        <v>0.4</v>
      </c>
      <c r="L40" s="32">
        <f>IFERROR(SUMIFS('Cable Data'!$G:$G,'Cable Data'!$A:$A,B40,'Cable Data'!$B:$B,C40,'Cable Data'!$C:$C,D40,'Cable Data'!$D:$D,E40,'Cable Data'!$E:$E,F40),"")</f>
        <v>40.299999999999997</v>
      </c>
      <c r="M40" s="33"/>
      <c r="N40" s="67" t="s">
        <v>472</v>
      </c>
      <c r="O40" s="8"/>
      <c r="P40" s="8"/>
      <c r="Q40" s="8"/>
    </row>
    <row r="41" spans="1:17" ht="29" customHeight="1" x14ac:dyDescent="0.35">
      <c r="A41" s="31" t="s">
        <v>255</v>
      </c>
      <c r="B41" s="32" t="s">
        <v>282</v>
      </c>
      <c r="C41" s="32" t="s">
        <v>254</v>
      </c>
      <c r="D41" s="32" t="s">
        <v>255</v>
      </c>
      <c r="E41" s="32" t="s">
        <v>260</v>
      </c>
      <c r="F41" s="32">
        <v>185</v>
      </c>
      <c r="G41" s="32">
        <v>329</v>
      </c>
      <c r="H41" s="88">
        <v>0.21099999999999999</v>
      </c>
      <c r="I41" s="89">
        <v>7.1999999999999995E-2</v>
      </c>
      <c r="J41" s="32">
        <v>143</v>
      </c>
      <c r="K41" s="32">
        <f>IFERROR(SUMIFS('Cable Data'!$J:$J,'Cable Data'!$A:$A,B41,'Cable Data'!$B:$B,C41,'Cable Data'!$C:$C,D41,'Cable Data'!$D:$D,E41,'Cable Data'!$E:$E,F41),"")</f>
        <v>0.4</v>
      </c>
      <c r="L41" s="32">
        <f>IFERROR(SUMIFS('Cable Data'!$G:$G,'Cable Data'!$A:$A,B41,'Cable Data'!$B:$B,C41,'Cable Data'!$C:$C,D41,'Cable Data'!$D:$D,E41,'Cable Data'!$E:$E,F41),"")</f>
        <v>37.9</v>
      </c>
      <c r="M41" s="33"/>
      <c r="N41" s="67" t="s">
        <v>472</v>
      </c>
      <c r="O41" s="8"/>
      <c r="P41" s="8"/>
      <c r="Q41" s="8"/>
    </row>
    <row r="42" spans="1:17" x14ac:dyDescent="0.35">
      <c r="A42" s="31" t="s">
        <v>255</v>
      </c>
      <c r="B42" s="32" t="s">
        <v>282</v>
      </c>
      <c r="C42" s="32" t="s">
        <v>254</v>
      </c>
      <c r="D42" s="32" t="s">
        <v>255</v>
      </c>
      <c r="E42" s="32" t="s">
        <v>256</v>
      </c>
      <c r="F42" s="32">
        <v>240</v>
      </c>
      <c r="G42" s="32">
        <v>392</v>
      </c>
      <c r="H42" s="88">
        <v>0.16200000000000001</v>
      </c>
      <c r="I42" s="89">
        <v>7.1999999999999995E-2</v>
      </c>
      <c r="J42" s="32">
        <v>143</v>
      </c>
      <c r="K42" s="32">
        <f>IFERROR(SUMIFS('Cable Data'!$J:$J,'Cable Data'!$A:$A,B42,'Cable Data'!$B:$B,C42,'Cable Data'!$C:$C,D42,'Cable Data'!$D:$D,E42,'Cable Data'!$E:$E,F42),"")</f>
        <v>0.3</v>
      </c>
      <c r="L42" s="32">
        <f>IFERROR(SUMIFS('Cable Data'!$G:$G,'Cable Data'!$A:$A,B42,'Cable Data'!$B:$B,C42,'Cable Data'!$C:$C,D42,'Cable Data'!$D:$D,E42,'Cable Data'!$E:$E,F42),"")</f>
        <v>45.6</v>
      </c>
      <c r="M42" s="33"/>
      <c r="N42" s="67" t="s">
        <v>472</v>
      </c>
      <c r="O42" s="8"/>
      <c r="P42" s="8"/>
      <c r="Q42" s="8"/>
    </row>
    <row r="43" spans="1:17" ht="29" customHeight="1" x14ac:dyDescent="0.35">
      <c r="A43" s="31" t="s">
        <v>255</v>
      </c>
      <c r="B43" s="32" t="s">
        <v>282</v>
      </c>
      <c r="C43" s="32" t="s">
        <v>254</v>
      </c>
      <c r="D43" s="32" t="s">
        <v>255</v>
      </c>
      <c r="E43" s="32" t="s">
        <v>260</v>
      </c>
      <c r="F43" s="32">
        <v>240</v>
      </c>
      <c r="G43" s="32">
        <v>392</v>
      </c>
      <c r="H43" s="88">
        <v>0.16200000000000001</v>
      </c>
      <c r="I43" s="89">
        <v>7.1999999999999995E-2</v>
      </c>
      <c r="J43" s="32">
        <v>143</v>
      </c>
      <c r="K43" s="32">
        <f>IFERROR(SUMIFS('Cable Data'!$J:$J,'Cable Data'!$A:$A,B43,'Cable Data'!$B:$B,C43,'Cable Data'!$C:$C,D43,'Cable Data'!$D:$D,E43,'Cable Data'!$E:$E,F43),"")</f>
        <v>0.3</v>
      </c>
      <c r="L43" s="32">
        <f>IFERROR(SUMIFS('Cable Data'!$G:$G,'Cable Data'!$A:$A,B43,'Cable Data'!$B:$B,C43,'Cable Data'!$C:$C,D43,'Cable Data'!$D:$D,E43,'Cable Data'!$E:$E,F43),"")</f>
        <v>42.8</v>
      </c>
      <c r="M43" s="33"/>
      <c r="N43" s="67" t="s">
        <v>472</v>
      </c>
      <c r="O43" s="8"/>
      <c r="P43" s="8"/>
      <c r="Q43" s="8"/>
    </row>
    <row r="44" spans="1:17" x14ac:dyDescent="0.35">
      <c r="A44" s="31" t="s">
        <v>255</v>
      </c>
      <c r="B44" s="32" t="s">
        <v>282</v>
      </c>
      <c r="C44" s="32" t="s">
        <v>254</v>
      </c>
      <c r="D44" s="32" t="s">
        <v>255</v>
      </c>
      <c r="E44" s="32" t="s">
        <v>256</v>
      </c>
      <c r="F44" s="32">
        <v>300</v>
      </c>
      <c r="G44" s="32">
        <v>452</v>
      </c>
      <c r="H44" s="88">
        <v>0.13</v>
      </c>
      <c r="I44" s="89">
        <v>7.0999999999999994E-2</v>
      </c>
      <c r="J44" s="32">
        <v>143</v>
      </c>
      <c r="K44" s="32">
        <f>IFERROR(SUMIFS('Cable Data'!$J:$J,'Cable Data'!$A:$A,B44,'Cable Data'!$B:$B,C44,'Cable Data'!$C:$C,D44,'Cable Data'!$D:$D,E44,'Cable Data'!$E:$E,F44),"")</f>
        <v>0.26</v>
      </c>
      <c r="L44" s="32">
        <f>IFERROR(SUMIFS('Cable Data'!$G:$G,'Cable Data'!$A:$A,B44,'Cable Data'!$B:$B,C44,'Cable Data'!$C:$C,D44,'Cable Data'!$D:$D,E44,'Cable Data'!$E:$E,F44),"")</f>
        <v>50.9</v>
      </c>
      <c r="M44" s="33"/>
      <c r="N44" s="67" t="s">
        <v>472</v>
      </c>
      <c r="O44" s="8"/>
      <c r="P44" s="8"/>
      <c r="Q44" s="8"/>
    </row>
    <row r="45" spans="1:17" ht="29" customHeight="1" x14ac:dyDescent="0.35">
      <c r="A45" s="31" t="s">
        <v>255</v>
      </c>
      <c r="B45" s="32" t="s">
        <v>282</v>
      </c>
      <c r="C45" s="32" t="s">
        <v>254</v>
      </c>
      <c r="D45" s="32" t="s">
        <v>255</v>
      </c>
      <c r="E45" s="32" t="s">
        <v>260</v>
      </c>
      <c r="F45" s="32">
        <v>300</v>
      </c>
      <c r="G45" s="32">
        <v>452</v>
      </c>
      <c r="H45" s="88">
        <v>0.13</v>
      </c>
      <c r="I45" s="89">
        <v>7.0999999999999994E-2</v>
      </c>
      <c r="J45" s="32">
        <v>143</v>
      </c>
      <c r="K45" s="32">
        <f>IFERROR(SUMIFS('Cable Data'!$J:$J,'Cable Data'!$A:$A,B45,'Cable Data'!$B:$B,C45,'Cable Data'!$C:$C,D45,'Cable Data'!$D:$D,E45,'Cable Data'!$E:$E,F45),"")</f>
        <v>0.26</v>
      </c>
      <c r="L45" s="32">
        <f>IFERROR(SUMIFS('Cable Data'!$G:$G,'Cable Data'!$A:$A,B45,'Cable Data'!$B:$B,C45,'Cable Data'!$C:$C,D45,'Cable Data'!$D:$D,E45,'Cable Data'!$E:$E,F45),"")</f>
        <v>47.8</v>
      </c>
      <c r="M45" s="33"/>
      <c r="N45" s="67" t="s">
        <v>472</v>
      </c>
      <c r="O45" s="8"/>
      <c r="P45" s="8"/>
      <c r="Q45" s="8"/>
    </row>
    <row r="46" spans="1:17" x14ac:dyDescent="0.35">
      <c r="A46" s="31" t="s">
        <v>255</v>
      </c>
      <c r="B46" s="32" t="s">
        <v>282</v>
      </c>
      <c r="C46" s="32" t="s">
        <v>254</v>
      </c>
      <c r="D46" s="32" t="s">
        <v>255</v>
      </c>
      <c r="E46" s="32" t="s">
        <v>256</v>
      </c>
      <c r="F46" s="32">
        <v>400</v>
      </c>
      <c r="G46" s="32">
        <v>526</v>
      </c>
      <c r="H46" s="88">
        <v>0.1023</v>
      </c>
      <c r="I46" s="89">
        <v>7.0000000000000007E-2</v>
      </c>
      <c r="J46" s="32">
        <v>143</v>
      </c>
      <c r="K46" s="32">
        <f>IFERROR(SUMIFS('Cable Data'!$J:$J,'Cable Data'!$A:$A,B46,'Cable Data'!$B:$B,C46,'Cable Data'!$C:$C,D46,'Cable Data'!$D:$D,E46,'Cable Data'!$E:$E,F46),"")</f>
        <v>0.21</v>
      </c>
      <c r="L46" s="32">
        <f>IFERROR(SUMIFS('Cable Data'!$G:$G,'Cable Data'!$A:$A,B46,'Cable Data'!$B:$B,C46,'Cable Data'!$C:$C,D46,'Cable Data'!$D:$D,E46,'Cable Data'!$E:$E,F46),"")</f>
        <v>57.2</v>
      </c>
      <c r="M46" s="33"/>
      <c r="N46" s="67" t="s">
        <v>472</v>
      </c>
      <c r="O46" s="8"/>
      <c r="P46" s="8"/>
      <c r="Q46" s="8"/>
    </row>
    <row r="47" spans="1:17" ht="29" customHeight="1" x14ac:dyDescent="0.35">
      <c r="A47" s="31" t="s">
        <v>255</v>
      </c>
      <c r="B47" s="32" t="s">
        <v>282</v>
      </c>
      <c r="C47" s="32" t="s">
        <v>254</v>
      </c>
      <c r="D47" s="32" t="s">
        <v>255</v>
      </c>
      <c r="E47" s="32" t="s">
        <v>260</v>
      </c>
      <c r="F47" s="32">
        <v>400</v>
      </c>
      <c r="G47" s="32">
        <v>526</v>
      </c>
      <c r="H47" s="88">
        <v>0.1023</v>
      </c>
      <c r="I47" s="89">
        <v>7.0000000000000007E-2</v>
      </c>
      <c r="J47" s="32">
        <v>143</v>
      </c>
      <c r="K47" s="32">
        <f>IFERROR(SUMIFS('Cable Data'!$J:$J,'Cable Data'!$A:$A,B47,'Cable Data'!$B:$B,C47,'Cable Data'!$C:$C,D47,'Cable Data'!$D:$D,E47,'Cable Data'!$E:$E,F47),"")</f>
        <v>0.21</v>
      </c>
      <c r="L47" s="32">
        <f>IFERROR(SUMIFS('Cable Data'!$G:$G,'Cable Data'!$A:$A,B47,'Cable Data'!$B:$B,C47,'Cable Data'!$C:$C,D47,'Cable Data'!$D:$D,E47,'Cable Data'!$E:$E,F47),"")</f>
        <v>53.8</v>
      </c>
      <c r="M47" s="33"/>
      <c r="N47" s="67" t="s">
        <v>472</v>
      </c>
      <c r="O47" s="8"/>
      <c r="P47" s="8"/>
      <c r="Q47" s="8"/>
    </row>
    <row r="48" spans="1:17" x14ac:dyDescent="0.35">
      <c r="A48" s="31" t="s">
        <v>255</v>
      </c>
      <c r="B48" s="32" t="s">
        <v>308</v>
      </c>
      <c r="C48" s="32" t="s">
        <v>254</v>
      </c>
      <c r="D48" s="32" t="s">
        <v>255</v>
      </c>
      <c r="E48" s="32" t="s">
        <v>256</v>
      </c>
      <c r="F48" s="32">
        <v>16</v>
      </c>
      <c r="G48" s="32">
        <v>73</v>
      </c>
      <c r="H48" s="88">
        <v>1.54</v>
      </c>
      <c r="I48" s="89">
        <v>0.08</v>
      </c>
      <c r="J48" s="32">
        <v>143</v>
      </c>
      <c r="K48" s="32">
        <f>IFERROR(SUMIFS('Cable Data'!$J:$J,'Cable Data'!$A:$A,B48,'Cable Data'!$B:$B,C48,'Cable Data'!$C:$C,D48,'Cable Data'!$D:$D,E48,'Cable Data'!$E:$E,F48),"")</f>
        <v>4.5</v>
      </c>
      <c r="L48" s="32">
        <f>IFERROR(SUMIFS('Cable Data'!$G:$G,'Cable Data'!$A:$A,B48,'Cable Data'!$B:$B,C48,'Cable Data'!$C:$C,D48,'Cable Data'!$D:$D,E48,'Cable Data'!$E:$E,F48),"")</f>
        <v>16.5</v>
      </c>
      <c r="M48" s="33"/>
      <c r="N48" s="67" t="s">
        <v>472</v>
      </c>
      <c r="O48" s="8"/>
      <c r="P48" s="8"/>
      <c r="Q48" s="8"/>
    </row>
    <row r="49" spans="1:17" ht="29" customHeight="1" x14ac:dyDescent="0.35">
      <c r="A49" s="31" t="s">
        <v>255</v>
      </c>
      <c r="B49" s="32" t="s">
        <v>308</v>
      </c>
      <c r="C49" s="32" t="s">
        <v>254</v>
      </c>
      <c r="D49" s="32" t="s">
        <v>255</v>
      </c>
      <c r="E49" s="32" t="s">
        <v>260</v>
      </c>
      <c r="F49" s="32">
        <v>16</v>
      </c>
      <c r="G49" s="32">
        <v>73</v>
      </c>
      <c r="H49" s="88">
        <v>1.54</v>
      </c>
      <c r="I49" s="89">
        <v>0.08</v>
      </c>
      <c r="J49" s="32">
        <v>143</v>
      </c>
      <c r="K49" s="32">
        <f>IFERROR(SUMIFS('Cable Data'!$J:$J,'Cable Data'!$A:$A,B49,'Cable Data'!$B:$B,C49,'Cable Data'!$C:$C,D49,'Cable Data'!$D:$D,E49,'Cable Data'!$E:$E,F49),"")</f>
        <v>4.5</v>
      </c>
      <c r="L49" s="32">
        <f>IFERROR(SUMIFS('Cable Data'!$G:$G,'Cable Data'!$A:$A,B49,'Cable Data'!$B:$B,C49,'Cable Data'!$C:$C,D49,'Cable Data'!$D:$D,E49,'Cable Data'!$E:$E,F49),"")</f>
        <v>15.5</v>
      </c>
      <c r="M49" s="33"/>
      <c r="N49" s="67" t="s">
        <v>472</v>
      </c>
      <c r="O49" s="8"/>
      <c r="P49" s="8"/>
      <c r="Q49" s="8"/>
    </row>
    <row r="50" spans="1:17" x14ac:dyDescent="0.35">
      <c r="A50" s="31" t="s">
        <v>255</v>
      </c>
      <c r="B50" s="32" t="s">
        <v>308</v>
      </c>
      <c r="C50" s="32" t="s">
        <v>254</v>
      </c>
      <c r="D50" s="32" t="s">
        <v>255</v>
      </c>
      <c r="E50" s="32" t="s">
        <v>256</v>
      </c>
      <c r="F50" s="32">
        <v>25</v>
      </c>
      <c r="G50" s="32">
        <v>95</v>
      </c>
      <c r="H50" s="88">
        <v>1.54</v>
      </c>
      <c r="I50" s="89">
        <v>0.08</v>
      </c>
      <c r="J50" s="32">
        <v>143</v>
      </c>
      <c r="K50" s="32">
        <f>IFERROR(SUMIFS('Cable Data'!$J:$J,'Cable Data'!$A:$A,B50,'Cable Data'!$B:$B,C50,'Cable Data'!$C:$C,D50,'Cable Data'!$D:$D,E50,'Cable Data'!$E:$E,F50),"")</f>
        <v>2.8</v>
      </c>
      <c r="L50" s="32">
        <f>IFERROR(SUMIFS('Cable Data'!$G:$G,'Cable Data'!$A:$A,B50,'Cable Data'!$B:$B,C50,'Cable Data'!$C:$C,D50,'Cable Data'!$D:$D,E50,'Cable Data'!$E:$E,F50),"")</f>
        <v>19.2</v>
      </c>
      <c r="M50" s="33"/>
      <c r="N50" s="67" t="s">
        <v>472</v>
      </c>
      <c r="O50" s="8"/>
      <c r="P50" s="8"/>
      <c r="Q50" s="8"/>
    </row>
    <row r="51" spans="1:17" ht="29" customHeight="1" x14ac:dyDescent="0.35">
      <c r="A51" s="31" t="s">
        <v>255</v>
      </c>
      <c r="B51" s="32" t="s">
        <v>308</v>
      </c>
      <c r="C51" s="32" t="s">
        <v>254</v>
      </c>
      <c r="D51" s="32" t="s">
        <v>255</v>
      </c>
      <c r="E51" s="32" t="s">
        <v>260</v>
      </c>
      <c r="F51" s="32">
        <v>25</v>
      </c>
      <c r="G51" s="32">
        <v>95</v>
      </c>
      <c r="H51" s="88">
        <v>1.54</v>
      </c>
      <c r="I51" s="89">
        <v>0.08</v>
      </c>
      <c r="J51" s="32">
        <v>143</v>
      </c>
      <c r="K51" s="32">
        <f>IFERROR(SUMIFS('Cable Data'!$J:$J,'Cable Data'!$A:$A,B51,'Cable Data'!$B:$B,C51,'Cable Data'!$C:$C,D51,'Cable Data'!$D:$D,E51,'Cable Data'!$E:$E,F51),"")</f>
        <v>2.8</v>
      </c>
      <c r="L51" s="32">
        <f>IFERROR(SUMIFS('Cable Data'!$G:$G,'Cable Data'!$A:$A,B51,'Cable Data'!$B:$B,C51,'Cable Data'!$C:$C,D51,'Cable Data'!$D:$D,E51,'Cable Data'!$E:$E,F51),"")</f>
        <v>18.100000000000001</v>
      </c>
      <c r="M51" s="33"/>
      <c r="N51" s="67" t="s">
        <v>472</v>
      </c>
      <c r="O51" s="8"/>
      <c r="P51" s="8"/>
      <c r="Q51" s="8"/>
    </row>
    <row r="52" spans="1:17" x14ac:dyDescent="0.35">
      <c r="A52" s="31" t="s">
        <v>255</v>
      </c>
      <c r="B52" s="32" t="s">
        <v>308</v>
      </c>
      <c r="C52" s="32" t="s">
        <v>254</v>
      </c>
      <c r="D52" s="32" t="s">
        <v>255</v>
      </c>
      <c r="E52" s="32" t="s">
        <v>256</v>
      </c>
      <c r="F52" s="32">
        <v>35</v>
      </c>
      <c r="G52" s="32">
        <v>115</v>
      </c>
      <c r="H52" s="88">
        <v>1.1100000000000001</v>
      </c>
      <c r="I52" s="89">
        <v>0.08</v>
      </c>
      <c r="J52" s="32">
        <v>143</v>
      </c>
      <c r="K52" s="32">
        <f>IFERROR(SUMIFS('Cable Data'!$J:$J,'Cable Data'!$A:$A,B52,'Cable Data'!$B:$B,C52,'Cable Data'!$C:$C,D52,'Cable Data'!$D:$D,E52,'Cable Data'!$E:$E,F52),"")</f>
        <v>2</v>
      </c>
      <c r="L52" s="32">
        <f>IFERROR(SUMIFS('Cable Data'!$G:$G,'Cable Data'!$A:$A,B52,'Cable Data'!$B:$B,C52,'Cable Data'!$C:$C,D52,'Cable Data'!$D:$D,E52,'Cable Data'!$E:$E,F52),"")</f>
        <v>20.9</v>
      </c>
      <c r="M52" s="33"/>
      <c r="N52" s="67" t="s">
        <v>472</v>
      </c>
      <c r="O52" s="8"/>
      <c r="P52" s="8"/>
      <c r="Q52" s="8"/>
    </row>
    <row r="53" spans="1:17" ht="29" customHeight="1" x14ac:dyDescent="0.35">
      <c r="A53" s="31" t="s">
        <v>255</v>
      </c>
      <c r="B53" s="32" t="s">
        <v>308</v>
      </c>
      <c r="C53" s="32" t="s">
        <v>254</v>
      </c>
      <c r="D53" s="32" t="s">
        <v>255</v>
      </c>
      <c r="E53" s="32" t="s">
        <v>260</v>
      </c>
      <c r="F53" s="32">
        <v>35</v>
      </c>
      <c r="G53" s="32">
        <v>115</v>
      </c>
      <c r="H53" s="88">
        <v>1.1100000000000001</v>
      </c>
      <c r="I53" s="89">
        <v>0.08</v>
      </c>
      <c r="J53" s="32">
        <v>143</v>
      </c>
      <c r="K53" s="32">
        <f>IFERROR(SUMIFS('Cable Data'!$J:$J,'Cable Data'!$A:$A,B53,'Cable Data'!$B:$B,C53,'Cable Data'!$C:$C,D53,'Cable Data'!$D:$D,E53,'Cable Data'!$E:$E,F53),"")</f>
        <v>2</v>
      </c>
      <c r="L53" s="32">
        <f>IFERROR(SUMIFS('Cable Data'!$G:$G,'Cable Data'!$A:$A,B53,'Cable Data'!$B:$B,C53,'Cable Data'!$C:$C,D53,'Cable Data'!$D:$D,E53,'Cable Data'!$E:$E,F53),"")</f>
        <v>19.600000000000001</v>
      </c>
      <c r="M53" s="33"/>
      <c r="N53" s="67" t="s">
        <v>472</v>
      </c>
      <c r="O53" s="8"/>
      <c r="P53" s="8"/>
      <c r="Q53" s="8"/>
    </row>
    <row r="54" spans="1:17" x14ac:dyDescent="0.35">
      <c r="A54" s="31" t="s">
        <v>255</v>
      </c>
      <c r="B54" s="32" t="s">
        <v>308</v>
      </c>
      <c r="C54" s="32" t="s">
        <v>254</v>
      </c>
      <c r="D54" s="32" t="s">
        <v>255</v>
      </c>
      <c r="E54" s="32" t="s">
        <v>256</v>
      </c>
      <c r="F54" s="32">
        <v>50</v>
      </c>
      <c r="G54" s="32">
        <v>137</v>
      </c>
      <c r="H54" s="88">
        <v>0.82</v>
      </c>
      <c r="I54" s="89">
        <v>7.8E-2</v>
      </c>
      <c r="J54" s="32">
        <v>143</v>
      </c>
      <c r="K54" s="32">
        <f>IFERROR(SUMIFS('Cable Data'!$J:$J,'Cable Data'!$A:$A,B54,'Cable Data'!$B:$B,C54,'Cable Data'!$C:$C,D54,'Cable Data'!$D:$D,E54,'Cable Data'!$E:$E,F54),"")</f>
        <v>1.5</v>
      </c>
      <c r="L54" s="32">
        <f>IFERROR(SUMIFS('Cable Data'!$G:$G,'Cable Data'!$A:$A,B54,'Cable Data'!$B:$B,C54,'Cable Data'!$C:$C,D54,'Cable Data'!$D:$D,E54,'Cable Data'!$E:$E,F54),"")</f>
        <v>24.2</v>
      </c>
      <c r="M54" s="33"/>
      <c r="N54" s="67" t="s">
        <v>472</v>
      </c>
      <c r="O54" s="8"/>
      <c r="P54" s="8"/>
      <c r="Q54" s="8"/>
    </row>
    <row r="55" spans="1:17" ht="29" customHeight="1" x14ac:dyDescent="0.35">
      <c r="A55" s="31" t="s">
        <v>255</v>
      </c>
      <c r="B55" s="32" t="s">
        <v>308</v>
      </c>
      <c r="C55" s="32" t="s">
        <v>254</v>
      </c>
      <c r="D55" s="32" t="s">
        <v>255</v>
      </c>
      <c r="E55" s="32" t="s">
        <v>260</v>
      </c>
      <c r="F55" s="32">
        <v>50</v>
      </c>
      <c r="G55" s="32">
        <v>137</v>
      </c>
      <c r="H55" s="88">
        <v>0.82</v>
      </c>
      <c r="I55" s="89">
        <v>7.8E-2</v>
      </c>
      <c r="J55" s="32">
        <v>143</v>
      </c>
      <c r="K55" s="32">
        <f>IFERROR(SUMIFS('Cable Data'!$J:$J,'Cable Data'!$A:$A,B55,'Cable Data'!$B:$B,C55,'Cable Data'!$C:$C,D55,'Cable Data'!$D:$D,E55,'Cable Data'!$E:$E,F55),"")</f>
        <v>1.5</v>
      </c>
      <c r="L55" s="32">
        <f>IFERROR(SUMIFS('Cable Data'!$G:$G,'Cable Data'!$A:$A,B55,'Cable Data'!$B:$B,C55,'Cable Data'!$C:$C,D55,'Cable Data'!$D:$D,E55,'Cable Data'!$E:$E,F55),"")</f>
        <v>22.7</v>
      </c>
      <c r="M55" s="33"/>
      <c r="N55" s="67" t="s">
        <v>472</v>
      </c>
      <c r="O55" s="8"/>
      <c r="P55" s="8"/>
      <c r="Q55" s="8"/>
    </row>
    <row r="56" spans="1:17" x14ac:dyDescent="0.35">
      <c r="A56" s="31" t="s">
        <v>255</v>
      </c>
      <c r="B56" s="32" t="s">
        <v>308</v>
      </c>
      <c r="C56" s="32" t="s">
        <v>254</v>
      </c>
      <c r="D56" s="32" t="s">
        <v>255</v>
      </c>
      <c r="E56" s="32" t="s">
        <v>256</v>
      </c>
      <c r="F56" s="32">
        <v>70</v>
      </c>
      <c r="G56" s="32">
        <v>173</v>
      </c>
      <c r="H56" s="88">
        <v>0.56699999999999995</v>
      </c>
      <c r="I56" s="89">
        <v>7.6999999999999999E-2</v>
      </c>
      <c r="J56" s="32">
        <v>143</v>
      </c>
      <c r="K56" s="32">
        <f>IFERROR(SUMIFS('Cable Data'!$J:$J,'Cable Data'!$A:$A,B56,'Cable Data'!$B:$B,C56,'Cable Data'!$C:$C,D56,'Cable Data'!$D:$D,E56,'Cable Data'!$E:$E,F56),"")</f>
        <v>1.05</v>
      </c>
      <c r="L56" s="32">
        <f>IFERROR(SUMIFS('Cable Data'!$G:$G,'Cable Data'!$A:$A,B56,'Cable Data'!$B:$B,C56,'Cable Data'!$C:$C,D56,'Cable Data'!$D:$D,E56,'Cable Data'!$E:$E,F56),"")</f>
        <v>27.5</v>
      </c>
      <c r="M56" s="33"/>
      <c r="N56" s="67" t="s">
        <v>472</v>
      </c>
      <c r="O56" s="8"/>
      <c r="P56" s="8"/>
      <c r="Q56" s="8"/>
    </row>
    <row r="57" spans="1:17" ht="29" customHeight="1" x14ac:dyDescent="0.35">
      <c r="A57" s="31" t="s">
        <v>255</v>
      </c>
      <c r="B57" s="32" t="s">
        <v>308</v>
      </c>
      <c r="C57" s="32" t="s">
        <v>254</v>
      </c>
      <c r="D57" s="32" t="s">
        <v>255</v>
      </c>
      <c r="E57" s="32" t="s">
        <v>260</v>
      </c>
      <c r="F57" s="32">
        <v>70</v>
      </c>
      <c r="G57" s="32">
        <v>173</v>
      </c>
      <c r="H57" s="88">
        <v>0.56699999999999995</v>
      </c>
      <c r="I57" s="89">
        <v>7.6999999999999999E-2</v>
      </c>
      <c r="J57" s="32">
        <v>143</v>
      </c>
      <c r="K57" s="32">
        <f>IFERROR(SUMIFS('Cable Data'!$J:$J,'Cable Data'!$A:$A,B57,'Cable Data'!$B:$B,C57,'Cable Data'!$C:$C,D57,'Cable Data'!$D:$D,E57,'Cable Data'!$E:$E,F57),"")</f>
        <v>1.05</v>
      </c>
      <c r="L57" s="32">
        <f>IFERROR(SUMIFS('Cable Data'!$G:$G,'Cable Data'!$A:$A,B57,'Cable Data'!$B:$B,C57,'Cable Data'!$C:$C,D57,'Cable Data'!$D:$D,E57,'Cable Data'!$E:$E,F57),"")</f>
        <v>25.9</v>
      </c>
      <c r="M57" s="33"/>
      <c r="N57" s="67" t="s">
        <v>472</v>
      </c>
      <c r="O57" s="8"/>
      <c r="P57" s="8"/>
      <c r="Q57" s="8"/>
    </row>
    <row r="58" spans="1:17" x14ac:dyDescent="0.35">
      <c r="A58" s="31" t="s">
        <v>255</v>
      </c>
      <c r="B58" s="32" t="s">
        <v>308</v>
      </c>
      <c r="C58" s="32" t="s">
        <v>254</v>
      </c>
      <c r="D58" s="32" t="s">
        <v>255</v>
      </c>
      <c r="E58" s="32" t="s">
        <v>256</v>
      </c>
      <c r="F58" s="32">
        <v>95</v>
      </c>
      <c r="G58" s="32">
        <v>214</v>
      </c>
      <c r="H58" s="88">
        <v>0.41</v>
      </c>
      <c r="I58" s="89">
        <v>7.3999999999999996E-2</v>
      </c>
      <c r="J58" s="32">
        <v>143</v>
      </c>
      <c r="K58" s="32">
        <f>IFERROR(SUMIFS('Cable Data'!$J:$J,'Cable Data'!$A:$A,B58,'Cable Data'!$B:$B,C58,'Cable Data'!$C:$C,D58,'Cable Data'!$D:$D,E58,'Cable Data'!$E:$E,F58),"")</f>
        <v>0.72</v>
      </c>
      <c r="L58" s="32">
        <f>IFERROR(SUMIFS('Cable Data'!$G:$G,'Cable Data'!$A:$A,B58,'Cable Data'!$B:$B,C58,'Cable Data'!$C:$C,D58,'Cable Data'!$D:$D,E58,'Cable Data'!$E:$E,F58),"")</f>
        <v>30.8</v>
      </c>
      <c r="M58" s="33"/>
      <c r="N58" s="67" t="s">
        <v>472</v>
      </c>
      <c r="O58" s="8"/>
      <c r="P58" s="8"/>
      <c r="Q58" s="8"/>
    </row>
    <row r="59" spans="1:17" ht="29" customHeight="1" x14ac:dyDescent="0.35">
      <c r="A59" s="31" t="s">
        <v>255</v>
      </c>
      <c r="B59" s="32" t="s">
        <v>308</v>
      </c>
      <c r="C59" s="32" t="s">
        <v>254</v>
      </c>
      <c r="D59" s="32" t="s">
        <v>255</v>
      </c>
      <c r="E59" s="32" t="s">
        <v>260</v>
      </c>
      <c r="F59" s="32">
        <v>95</v>
      </c>
      <c r="G59" s="32">
        <v>214</v>
      </c>
      <c r="H59" s="88">
        <v>0.41</v>
      </c>
      <c r="I59" s="89">
        <v>7.3999999999999996E-2</v>
      </c>
      <c r="J59" s="32">
        <v>143</v>
      </c>
      <c r="K59" s="32">
        <f>IFERROR(SUMIFS('Cable Data'!$J:$J,'Cable Data'!$A:$A,B59,'Cable Data'!$B:$B,C59,'Cable Data'!$C:$C,D59,'Cable Data'!$D:$D,E59,'Cable Data'!$E:$E,F59),"")</f>
        <v>0.72</v>
      </c>
      <c r="L59" s="32">
        <f>IFERROR(SUMIFS('Cable Data'!$G:$G,'Cable Data'!$A:$A,B59,'Cable Data'!$B:$B,C59,'Cable Data'!$C:$C,D59,'Cable Data'!$D:$D,E59,'Cable Data'!$E:$E,F59),"")</f>
        <v>29</v>
      </c>
      <c r="M59" s="33"/>
      <c r="N59" s="67" t="s">
        <v>472</v>
      </c>
      <c r="O59" s="8"/>
      <c r="P59" s="8"/>
      <c r="Q59" s="8"/>
    </row>
    <row r="60" spans="1:17" x14ac:dyDescent="0.35">
      <c r="A60" s="31" t="s">
        <v>255</v>
      </c>
      <c r="B60" s="32" t="s">
        <v>308</v>
      </c>
      <c r="C60" s="32" t="s">
        <v>254</v>
      </c>
      <c r="D60" s="32" t="s">
        <v>255</v>
      </c>
      <c r="E60" s="32" t="s">
        <v>256</v>
      </c>
      <c r="F60" s="32">
        <v>120</v>
      </c>
      <c r="G60" s="32">
        <v>247</v>
      </c>
      <c r="H60" s="88">
        <v>0.32500000000000001</v>
      </c>
      <c r="I60" s="89">
        <v>7.1999999999999995E-2</v>
      </c>
      <c r="J60" s="32">
        <v>143</v>
      </c>
      <c r="K60" s="32">
        <f>IFERROR(SUMIFS('Cable Data'!$J:$J,'Cable Data'!$A:$A,B60,'Cable Data'!$B:$B,C60,'Cable Data'!$C:$C,D60,'Cable Data'!$D:$D,E60,'Cable Data'!$E:$E,F60),"")</f>
        <v>0.56999999999999995</v>
      </c>
      <c r="L60" s="32">
        <f>IFERROR(SUMIFS('Cable Data'!$G:$G,'Cable Data'!$A:$A,B60,'Cable Data'!$B:$B,C60,'Cable Data'!$C:$C,D60,'Cable Data'!$D:$D,E60,'Cable Data'!$E:$E,F60),"")</f>
        <v>34.1</v>
      </c>
      <c r="M60" s="33"/>
      <c r="N60" s="67" t="s">
        <v>472</v>
      </c>
      <c r="O60" s="8"/>
      <c r="P60" s="8"/>
      <c r="Q60" s="8"/>
    </row>
    <row r="61" spans="1:17" ht="29" customHeight="1" x14ac:dyDescent="0.35">
      <c r="A61" s="31" t="s">
        <v>255</v>
      </c>
      <c r="B61" s="32" t="s">
        <v>308</v>
      </c>
      <c r="C61" s="32" t="s">
        <v>254</v>
      </c>
      <c r="D61" s="32" t="s">
        <v>255</v>
      </c>
      <c r="E61" s="32" t="s">
        <v>260</v>
      </c>
      <c r="F61" s="32">
        <v>120</v>
      </c>
      <c r="G61" s="32">
        <v>247</v>
      </c>
      <c r="H61" s="88">
        <v>0.32500000000000001</v>
      </c>
      <c r="I61" s="89">
        <v>7.1999999999999995E-2</v>
      </c>
      <c r="J61" s="32">
        <v>143</v>
      </c>
      <c r="K61" s="32">
        <f>IFERROR(SUMIFS('Cable Data'!$J:$J,'Cable Data'!$A:$A,B61,'Cable Data'!$B:$B,C61,'Cable Data'!$C:$C,D61,'Cable Data'!$D:$D,E61,'Cable Data'!$E:$E,F61),"")</f>
        <v>0.56999999999999995</v>
      </c>
      <c r="L61" s="32">
        <f>IFERROR(SUMIFS('Cable Data'!$G:$G,'Cable Data'!$A:$A,B61,'Cable Data'!$B:$B,C61,'Cable Data'!$C:$C,D61,'Cable Data'!$D:$D,E61,'Cable Data'!$E:$E,F61),"")</f>
        <v>32.1</v>
      </c>
      <c r="M61" s="33"/>
      <c r="N61" s="67" t="s">
        <v>472</v>
      </c>
      <c r="O61" s="8"/>
      <c r="P61" s="8"/>
      <c r="Q61" s="8"/>
    </row>
    <row r="62" spans="1:17" x14ac:dyDescent="0.35">
      <c r="A62" s="31" t="s">
        <v>255</v>
      </c>
      <c r="B62" s="32" t="s">
        <v>308</v>
      </c>
      <c r="C62" s="32" t="s">
        <v>254</v>
      </c>
      <c r="D62" s="32" t="s">
        <v>255</v>
      </c>
      <c r="E62" s="32" t="s">
        <v>256</v>
      </c>
      <c r="F62" s="32">
        <v>150</v>
      </c>
      <c r="G62" s="32">
        <v>280</v>
      </c>
      <c r="H62" s="88">
        <v>0.26500000000000001</v>
      </c>
      <c r="I62" s="89">
        <v>7.1999999999999995E-2</v>
      </c>
      <c r="J62" s="32">
        <v>143</v>
      </c>
      <c r="K62" s="32">
        <f>IFERROR(SUMIFS('Cable Data'!$J:$J,'Cable Data'!$A:$A,B62,'Cable Data'!$B:$B,C62,'Cable Data'!$C:$C,D62,'Cable Data'!$D:$D,E62,'Cable Data'!$E:$E,F62),"")</f>
        <v>0.49</v>
      </c>
      <c r="L62" s="32">
        <f>IFERROR(SUMIFS('Cable Data'!$G:$G,'Cable Data'!$A:$A,B62,'Cable Data'!$B:$B,C62,'Cable Data'!$C:$C,D62,'Cable Data'!$D:$D,E62,'Cable Data'!$E:$E,F62),"")</f>
        <v>37.4</v>
      </c>
      <c r="M62" s="33"/>
      <c r="N62" s="67" t="s">
        <v>472</v>
      </c>
      <c r="O62" s="8"/>
      <c r="P62" s="8"/>
      <c r="Q62" s="8"/>
    </row>
    <row r="63" spans="1:17" ht="29" customHeight="1" x14ac:dyDescent="0.35">
      <c r="A63" s="31" t="s">
        <v>255</v>
      </c>
      <c r="B63" s="32" t="s">
        <v>308</v>
      </c>
      <c r="C63" s="32" t="s">
        <v>254</v>
      </c>
      <c r="D63" s="32" t="s">
        <v>255</v>
      </c>
      <c r="E63" s="32" t="s">
        <v>260</v>
      </c>
      <c r="F63" s="32">
        <v>150</v>
      </c>
      <c r="G63" s="32">
        <v>280</v>
      </c>
      <c r="H63" s="88">
        <v>0.26500000000000001</v>
      </c>
      <c r="I63" s="89">
        <v>7.1999999999999995E-2</v>
      </c>
      <c r="J63" s="32">
        <v>143</v>
      </c>
      <c r="K63" s="32">
        <f>IFERROR(SUMIFS('Cable Data'!$J:$J,'Cable Data'!$A:$A,B63,'Cable Data'!$B:$B,C63,'Cable Data'!$C:$C,D63,'Cable Data'!$D:$D,E63,'Cable Data'!$E:$E,F63),"")</f>
        <v>0.49</v>
      </c>
      <c r="L63" s="32">
        <f>IFERROR(SUMIFS('Cable Data'!$G:$G,'Cable Data'!$A:$A,B63,'Cable Data'!$B:$B,C63,'Cable Data'!$C:$C,D63,'Cable Data'!$D:$D,E63,'Cable Data'!$E:$E,F63),"")</f>
        <v>35.200000000000003</v>
      </c>
      <c r="M63" s="33"/>
      <c r="N63" s="67" t="s">
        <v>472</v>
      </c>
      <c r="O63" s="8"/>
      <c r="P63" s="8"/>
      <c r="Q63" s="8"/>
    </row>
    <row r="64" spans="1:17" x14ac:dyDescent="0.35">
      <c r="A64" s="31" t="s">
        <v>255</v>
      </c>
      <c r="B64" s="32" t="s">
        <v>308</v>
      </c>
      <c r="C64" s="32" t="s">
        <v>254</v>
      </c>
      <c r="D64" s="32" t="s">
        <v>255</v>
      </c>
      <c r="E64" s="32" t="s">
        <v>256</v>
      </c>
      <c r="F64" s="32">
        <v>185</v>
      </c>
      <c r="G64" s="32">
        <v>325</v>
      </c>
      <c r="H64" s="88">
        <v>0.21099999999999999</v>
      </c>
      <c r="I64" s="89">
        <v>7.1999999999999995E-2</v>
      </c>
      <c r="J64" s="32">
        <v>143</v>
      </c>
      <c r="K64" s="32">
        <f>IFERROR(SUMIFS('Cable Data'!$J:$J,'Cable Data'!$A:$A,B64,'Cable Data'!$B:$B,C64,'Cable Data'!$C:$C,D64,'Cable Data'!$D:$D,E64,'Cable Data'!$E:$E,F64),"")</f>
        <v>0.41</v>
      </c>
      <c r="L64" s="32">
        <f>IFERROR(SUMIFS('Cable Data'!$G:$G,'Cable Data'!$A:$A,B64,'Cable Data'!$B:$B,C64,'Cable Data'!$C:$C,D64,'Cable Data'!$D:$D,E64,'Cable Data'!$E:$E,F64),"")</f>
        <v>41.8</v>
      </c>
      <c r="M64" s="33"/>
      <c r="N64" s="67" t="s">
        <v>472</v>
      </c>
      <c r="O64" s="8"/>
      <c r="P64" s="8"/>
      <c r="Q64" s="8"/>
    </row>
    <row r="65" spans="1:17" ht="29" customHeight="1" x14ac:dyDescent="0.35">
      <c r="A65" s="31" t="s">
        <v>255</v>
      </c>
      <c r="B65" s="32" t="s">
        <v>308</v>
      </c>
      <c r="C65" s="32" t="s">
        <v>254</v>
      </c>
      <c r="D65" s="32" t="s">
        <v>255</v>
      </c>
      <c r="E65" s="32" t="s">
        <v>260</v>
      </c>
      <c r="F65" s="32">
        <v>185</v>
      </c>
      <c r="G65" s="32">
        <v>325</v>
      </c>
      <c r="H65" s="88">
        <v>0.21099999999999999</v>
      </c>
      <c r="I65" s="89">
        <v>7.1999999999999995E-2</v>
      </c>
      <c r="J65" s="32">
        <v>143</v>
      </c>
      <c r="K65" s="32">
        <f>IFERROR(SUMIFS('Cable Data'!$J:$J,'Cable Data'!$A:$A,B65,'Cable Data'!$B:$B,C65,'Cable Data'!$C:$C,D65,'Cable Data'!$D:$D,E65,'Cable Data'!$E:$E,F65),"")</f>
        <v>0.41</v>
      </c>
      <c r="L65" s="32">
        <f>IFERROR(SUMIFS('Cable Data'!$G:$G,'Cable Data'!$A:$A,B65,'Cable Data'!$B:$B,C65,'Cable Data'!$C:$C,D65,'Cable Data'!$D:$D,E65,'Cable Data'!$E:$E,F65),"")</f>
        <v>39.299999999999997</v>
      </c>
      <c r="M65" s="33"/>
      <c r="N65" s="67" t="s">
        <v>472</v>
      </c>
      <c r="O65" s="8"/>
      <c r="P65" s="8"/>
      <c r="Q65" s="8"/>
    </row>
    <row r="66" spans="1:17" x14ac:dyDescent="0.35">
      <c r="A66" s="31" t="s">
        <v>255</v>
      </c>
      <c r="B66" s="32" t="s">
        <v>308</v>
      </c>
      <c r="C66" s="32" t="s">
        <v>254</v>
      </c>
      <c r="D66" s="32" t="s">
        <v>255</v>
      </c>
      <c r="E66" s="32" t="s">
        <v>256</v>
      </c>
      <c r="F66" s="32">
        <v>240</v>
      </c>
      <c r="G66" s="32">
        <v>388</v>
      </c>
      <c r="H66" s="88">
        <v>0.16200000000000001</v>
      </c>
      <c r="I66" s="89">
        <v>7.1999999999999995E-2</v>
      </c>
      <c r="J66" s="32">
        <v>143</v>
      </c>
      <c r="K66" s="32">
        <f>IFERROR(SUMIFS('Cable Data'!$J:$J,'Cable Data'!$A:$A,B66,'Cable Data'!$B:$B,C66,'Cable Data'!$C:$C,D66,'Cable Data'!$D:$D,E66,'Cable Data'!$E:$E,F66),"")</f>
        <v>0.31</v>
      </c>
      <c r="L66" s="32">
        <f>IFERROR(SUMIFS('Cable Data'!$G:$G,'Cable Data'!$A:$A,B66,'Cable Data'!$B:$B,C66,'Cable Data'!$C:$C,D66,'Cable Data'!$D:$D,E66,'Cable Data'!$E:$E,F66),"")</f>
        <v>47.3</v>
      </c>
      <c r="M66" s="33"/>
      <c r="N66" s="67" t="s">
        <v>472</v>
      </c>
      <c r="O66" s="8"/>
      <c r="P66" s="8"/>
      <c r="Q66" s="8"/>
    </row>
    <row r="67" spans="1:17" ht="29" customHeight="1" x14ac:dyDescent="0.35">
      <c r="A67" s="31" t="s">
        <v>255</v>
      </c>
      <c r="B67" s="32" t="s">
        <v>308</v>
      </c>
      <c r="C67" s="32" t="s">
        <v>254</v>
      </c>
      <c r="D67" s="32" t="s">
        <v>255</v>
      </c>
      <c r="E67" s="32" t="s">
        <v>260</v>
      </c>
      <c r="F67" s="32">
        <v>240</v>
      </c>
      <c r="G67" s="32">
        <v>388</v>
      </c>
      <c r="H67" s="88">
        <v>0.16200000000000001</v>
      </c>
      <c r="I67" s="89">
        <v>7.1999999999999995E-2</v>
      </c>
      <c r="J67" s="32">
        <v>143</v>
      </c>
      <c r="K67" s="32">
        <f>IFERROR(SUMIFS('Cable Data'!$J:$J,'Cable Data'!$A:$A,B67,'Cable Data'!$B:$B,C67,'Cable Data'!$C:$C,D67,'Cable Data'!$D:$D,E67,'Cable Data'!$E:$E,F67),"")</f>
        <v>0.31</v>
      </c>
      <c r="L67" s="32">
        <f>IFERROR(SUMIFS('Cable Data'!$G:$G,'Cable Data'!$A:$A,B67,'Cable Data'!$B:$B,C67,'Cable Data'!$C:$C,D67,'Cable Data'!$D:$D,E67,'Cable Data'!$E:$E,F67),"")</f>
        <v>44.5</v>
      </c>
      <c r="M67" s="33"/>
      <c r="N67" s="67" t="s">
        <v>472</v>
      </c>
      <c r="O67" s="8"/>
      <c r="P67" s="8"/>
      <c r="Q67" s="8"/>
    </row>
    <row r="68" spans="1:17" x14ac:dyDescent="0.35">
      <c r="A68" s="31" t="s">
        <v>255</v>
      </c>
      <c r="B68" s="32" t="s">
        <v>308</v>
      </c>
      <c r="C68" s="32" t="s">
        <v>254</v>
      </c>
      <c r="D68" s="32" t="s">
        <v>255</v>
      </c>
      <c r="E68" s="32" t="s">
        <v>256</v>
      </c>
      <c r="F68" s="32">
        <v>300</v>
      </c>
      <c r="G68" s="32">
        <v>447</v>
      </c>
      <c r="H68" s="88">
        <v>0.13</v>
      </c>
      <c r="I68" s="89">
        <v>7.0999999999999994E-2</v>
      </c>
      <c r="J68" s="32">
        <v>143</v>
      </c>
      <c r="K68" s="32">
        <f>IFERROR(SUMIFS('Cable Data'!$J:$J,'Cable Data'!$A:$A,B68,'Cable Data'!$B:$B,C68,'Cable Data'!$C:$C,D68,'Cable Data'!$D:$D,E68,'Cable Data'!$E:$E,F68),"")</f>
        <v>0.27</v>
      </c>
      <c r="L68" s="32">
        <f>IFERROR(SUMIFS('Cable Data'!$G:$G,'Cable Data'!$A:$A,B68,'Cable Data'!$B:$B,C68,'Cable Data'!$C:$C,D68,'Cable Data'!$D:$D,E68,'Cable Data'!$E:$E,F68),"")</f>
        <v>52.8</v>
      </c>
      <c r="M68" s="33"/>
      <c r="N68" s="67" t="s">
        <v>472</v>
      </c>
      <c r="O68" s="8"/>
      <c r="P68" s="8"/>
      <c r="Q68" s="8"/>
    </row>
    <row r="69" spans="1:17" ht="29" customHeight="1" x14ac:dyDescent="0.35">
      <c r="A69" s="31" t="s">
        <v>255</v>
      </c>
      <c r="B69" s="32" t="s">
        <v>308</v>
      </c>
      <c r="C69" s="32" t="s">
        <v>254</v>
      </c>
      <c r="D69" s="32" t="s">
        <v>255</v>
      </c>
      <c r="E69" s="32" t="s">
        <v>260</v>
      </c>
      <c r="F69" s="32">
        <v>300</v>
      </c>
      <c r="G69" s="32">
        <v>447</v>
      </c>
      <c r="H69" s="88">
        <v>0.13</v>
      </c>
      <c r="I69" s="89">
        <v>7.0999999999999994E-2</v>
      </c>
      <c r="J69" s="32">
        <v>143</v>
      </c>
      <c r="K69" s="32">
        <f>IFERROR(SUMIFS('Cable Data'!$J:$J,'Cable Data'!$A:$A,B69,'Cable Data'!$B:$B,C69,'Cable Data'!$C:$C,D69,'Cable Data'!$D:$D,E69,'Cable Data'!$E:$E,F69),"")</f>
        <v>0.27</v>
      </c>
      <c r="L69" s="32">
        <f>IFERROR(SUMIFS('Cable Data'!$G:$G,'Cable Data'!$A:$A,B69,'Cable Data'!$B:$B,C69,'Cable Data'!$C:$C,D69,'Cable Data'!$D:$D,E69,'Cable Data'!$E:$E,F69),"")</f>
        <v>49.6</v>
      </c>
      <c r="M69" s="33"/>
      <c r="N69" s="67" t="s">
        <v>472</v>
      </c>
      <c r="O69" s="8"/>
      <c r="P69" s="8"/>
      <c r="Q69" s="8"/>
    </row>
    <row r="70" spans="1:17" x14ac:dyDescent="0.35">
      <c r="A70" s="31" t="s">
        <v>255</v>
      </c>
      <c r="B70" s="32" t="s">
        <v>308</v>
      </c>
      <c r="C70" s="32" t="s">
        <v>254</v>
      </c>
      <c r="D70" s="32" t="s">
        <v>255</v>
      </c>
      <c r="E70" s="32" t="s">
        <v>256</v>
      </c>
      <c r="F70" s="32">
        <v>400</v>
      </c>
      <c r="G70" s="32">
        <v>520</v>
      </c>
      <c r="H70" s="88">
        <v>0.1023</v>
      </c>
      <c r="I70" s="89">
        <v>7.0000000000000007E-2</v>
      </c>
      <c r="J70" s="32">
        <v>143</v>
      </c>
      <c r="K70" s="32">
        <f>IFERROR(SUMIFS('Cable Data'!$J:$J,'Cable Data'!$A:$A,B70,'Cable Data'!$B:$B,C70,'Cable Data'!$C:$C,D70,'Cable Data'!$D:$D,E70,'Cable Data'!$E:$E,F70),"")</f>
        <v>0.22</v>
      </c>
      <c r="L70" s="32">
        <f>IFERROR(SUMIFS('Cable Data'!$G:$G,'Cable Data'!$A:$A,B70,'Cable Data'!$B:$B,C70,'Cable Data'!$C:$C,D70,'Cable Data'!$D:$D,E70,'Cable Data'!$E:$E,F70),"")</f>
        <v>59.4</v>
      </c>
      <c r="M70" s="33"/>
      <c r="N70" s="67" t="s">
        <v>472</v>
      </c>
      <c r="O70" s="8"/>
      <c r="P70" s="8"/>
      <c r="Q70" s="8"/>
    </row>
    <row r="71" spans="1:17" ht="29" customHeight="1" x14ac:dyDescent="0.35">
      <c r="A71" s="31" t="s">
        <v>255</v>
      </c>
      <c r="B71" s="32" t="s">
        <v>308</v>
      </c>
      <c r="C71" s="32" t="s">
        <v>254</v>
      </c>
      <c r="D71" s="32" t="s">
        <v>255</v>
      </c>
      <c r="E71" s="32" t="s">
        <v>260</v>
      </c>
      <c r="F71" s="32">
        <v>400</v>
      </c>
      <c r="G71" s="32">
        <v>520</v>
      </c>
      <c r="H71" s="88">
        <v>0.1023</v>
      </c>
      <c r="I71" s="89">
        <v>7.0000000000000007E-2</v>
      </c>
      <c r="J71" s="32">
        <v>143</v>
      </c>
      <c r="K71" s="32">
        <f>IFERROR(SUMIFS('Cable Data'!$J:$J,'Cable Data'!$A:$A,B71,'Cable Data'!$B:$B,C71,'Cable Data'!$C:$C,D71,'Cable Data'!$D:$D,E71,'Cable Data'!$E:$E,F71),"")</f>
        <v>0.22</v>
      </c>
      <c r="L71" s="32">
        <f>IFERROR(SUMIFS('Cable Data'!$G:$G,'Cable Data'!$A:$A,B71,'Cable Data'!$B:$B,C71,'Cable Data'!$C:$C,D71,'Cable Data'!$D:$D,E71,'Cable Data'!$E:$E,F71),"")</f>
        <v>55.8</v>
      </c>
      <c r="M71" s="33"/>
      <c r="N71" s="67" t="s">
        <v>472</v>
      </c>
      <c r="O71" s="8"/>
      <c r="P71" s="8"/>
      <c r="Q71" s="8"/>
    </row>
    <row r="72" spans="1:17" x14ac:dyDescent="0.35">
      <c r="A72" s="31" t="s">
        <v>255</v>
      </c>
      <c r="B72" s="32" t="s">
        <v>178</v>
      </c>
      <c r="C72" s="32" t="s">
        <v>334</v>
      </c>
      <c r="D72" s="32" t="s">
        <v>255</v>
      </c>
      <c r="E72" s="32" t="s">
        <v>256</v>
      </c>
      <c r="F72" s="32">
        <v>25</v>
      </c>
      <c r="G72" s="32">
        <v>120</v>
      </c>
      <c r="H72" s="88">
        <v>0.93</v>
      </c>
      <c r="I72" s="89">
        <v>0.08</v>
      </c>
      <c r="J72" s="32">
        <v>143</v>
      </c>
      <c r="K72" s="32">
        <f>IFERROR(SUMIFS('Cable Data'!$J:$J,'Cable Data'!$A:$A,B72,'Cable Data'!$B:$B,C72,'Cable Data'!$C:$C,D72,'Cable Data'!$D:$D,E72,'Cable Data'!$E:$E,F72),"")</f>
        <v>1.232</v>
      </c>
      <c r="L72" s="32">
        <f>IFERROR(SUMIFS('Cable Data'!$G:$G,'Cable Data'!$A:$A,B72,'Cable Data'!$B:$B,C72,'Cable Data'!$C:$C,D72,'Cable Data'!$D:$D,E72,'Cable Data'!$E:$E,F72),"")</f>
        <v>17.899999999999999</v>
      </c>
      <c r="M72" s="33"/>
      <c r="N72" s="67" t="s">
        <v>472</v>
      </c>
      <c r="O72" s="8"/>
      <c r="P72" s="8"/>
      <c r="Q72" s="8"/>
    </row>
    <row r="73" spans="1:17" ht="29" customHeight="1" x14ac:dyDescent="0.35">
      <c r="A73" s="31" t="s">
        <v>255</v>
      </c>
      <c r="B73" s="32" t="s">
        <v>178</v>
      </c>
      <c r="C73" s="32" t="s">
        <v>334</v>
      </c>
      <c r="D73" s="32" t="s">
        <v>255</v>
      </c>
      <c r="E73" s="32" t="s">
        <v>260</v>
      </c>
      <c r="F73" s="32">
        <v>25</v>
      </c>
      <c r="G73" s="32">
        <v>120</v>
      </c>
      <c r="H73" s="88">
        <v>0.93</v>
      </c>
      <c r="I73" s="89">
        <v>0.08</v>
      </c>
      <c r="J73" s="32">
        <v>143</v>
      </c>
      <c r="K73" s="32">
        <f>IFERROR(SUMIFS('Cable Data'!$J:$J,'Cable Data'!$A:$A,B73,'Cable Data'!$B:$B,C73,'Cable Data'!$C:$C,D73,'Cable Data'!$D:$D,E73,'Cable Data'!$E:$E,F73),"")</f>
        <v>1.232</v>
      </c>
      <c r="L73" s="32">
        <f>IFERROR(SUMIFS('Cable Data'!$G:$G,'Cable Data'!$A:$A,B73,'Cable Data'!$B:$B,C73,'Cable Data'!$C:$C,D73,'Cable Data'!$D:$D,E73,'Cable Data'!$E:$E,F73),"")</f>
        <v>16.8</v>
      </c>
      <c r="M73" s="33"/>
      <c r="N73" s="67" t="s">
        <v>472</v>
      </c>
      <c r="O73" s="8"/>
      <c r="P73" s="8"/>
      <c r="Q73" s="8"/>
    </row>
    <row r="74" spans="1:17" x14ac:dyDescent="0.35">
      <c r="A74" s="31" t="s">
        <v>255</v>
      </c>
      <c r="B74" s="32" t="s">
        <v>178</v>
      </c>
      <c r="C74" s="32" t="s">
        <v>334</v>
      </c>
      <c r="D74" s="32" t="s">
        <v>255</v>
      </c>
      <c r="E74" s="32" t="s">
        <v>256</v>
      </c>
      <c r="F74" s="32">
        <v>35</v>
      </c>
      <c r="G74" s="32">
        <v>146.19999999999999</v>
      </c>
      <c r="H74" s="88">
        <v>0.67100000000000004</v>
      </c>
      <c r="I74" s="89">
        <v>0.08</v>
      </c>
      <c r="J74" s="32">
        <v>143</v>
      </c>
      <c r="K74" s="32">
        <f>IFERROR(SUMIFS('Cable Data'!$J:$J,'Cable Data'!$A:$A,B74,'Cable Data'!$B:$B,C74,'Cable Data'!$C:$C,D74,'Cable Data'!$D:$D,E74,'Cable Data'!$E:$E,F74),"")</f>
        <v>0.88800000000000001</v>
      </c>
      <c r="L74" s="32">
        <f>IFERROR(SUMIFS('Cable Data'!$G:$G,'Cable Data'!$A:$A,B74,'Cable Data'!$B:$B,C74,'Cable Data'!$C:$C,D74,'Cable Data'!$D:$D,E74,'Cable Data'!$E:$E,F74),"")</f>
        <v>19.399999999999999</v>
      </c>
      <c r="M74" s="33"/>
      <c r="N74" s="67" t="s">
        <v>472</v>
      </c>
      <c r="O74" s="8"/>
      <c r="P74" s="8"/>
      <c r="Q74" s="8"/>
    </row>
    <row r="75" spans="1:17" ht="29" customHeight="1" x14ac:dyDescent="0.35">
      <c r="A75" s="31" t="s">
        <v>255</v>
      </c>
      <c r="B75" s="32" t="s">
        <v>178</v>
      </c>
      <c r="C75" s="32" t="s">
        <v>334</v>
      </c>
      <c r="D75" s="32" t="s">
        <v>255</v>
      </c>
      <c r="E75" s="32" t="s">
        <v>260</v>
      </c>
      <c r="F75" s="32">
        <v>35</v>
      </c>
      <c r="G75" s="32">
        <v>146.19999999999999</v>
      </c>
      <c r="H75" s="88">
        <v>0.67100000000000004</v>
      </c>
      <c r="I75" s="89">
        <v>0.08</v>
      </c>
      <c r="J75" s="32">
        <v>143</v>
      </c>
      <c r="K75" s="32">
        <f>IFERROR(SUMIFS('Cable Data'!$J:$J,'Cable Data'!$A:$A,B75,'Cable Data'!$B:$B,C75,'Cable Data'!$C:$C,D75,'Cable Data'!$D:$D,E75,'Cable Data'!$E:$E,F75),"")</f>
        <v>0.88800000000000001</v>
      </c>
      <c r="L75" s="32">
        <f>IFERROR(SUMIFS('Cable Data'!$G:$G,'Cable Data'!$A:$A,B75,'Cable Data'!$B:$B,C75,'Cable Data'!$C:$C,D75,'Cable Data'!$D:$D,E75,'Cable Data'!$E:$E,F75),"")</f>
        <v>18.2</v>
      </c>
      <c r="M75" s="33"/>
      <c r="N75" s="67" t="s">
        <v>472</v>
      </c>
      <c r="O75" s="8"/>
      <c r="P75" s="8"/>
      <c r="Q75" s="8"/>
    </row>
    <row r="76" spans="1:17" x14ac:dyDescent="0.35">
      <c r="A76" s="31" t="s">
        <v>255</v>
      </c>
      <c r="B76" s="32" t="s">
        <v>178</v>
      </c>
      <c r="C76" s="32" t="s">
        <v>334</v>
      </c>
      <c r="D76" s="32" t="s">
        <v>255</v>
      </c>
      <c r="E76" s="32" t="s">
        <v>256</v>
      </c>
      <c r="F76" s="32">
        <v>50</v>
      </c>
      <c r="G76" s="32">
        <v>177.5</v>
      </c>
      <c r="H76" s="88">
        <v>0.495</v>
      </c>
      <c r="I76" s="89">
        <v>7.8E-2</v>
      </c>
      <c r="J76" s="32">
        <v>143</v>
      </c>
      <c r="K76" s="32">
        <f>IFERROR(SUMIFS('Cable Data'!$J:$J,'Cable Data'!$A:$A,B76,'Cable Data'!$B:$B,C76,'Cable Data'!$C:$C,D76,'Cable Data'!$D:$D,E76,'Cable Data'!$E:$E,F76),"")</f>
        <v>0.65600000000000003</v>
      </c>
      <c r="L76" s="32">
        <f>IFERROR(SUMIFS('Cable Data'!$G:$G,'Cable Data'!$A:$A,B76,'Cable Data'!$B:$B,C76,'Cable Data'!$C:$C,D76,'Cable Data'!$D:$D,E76,'Cable Data'!$E:$E,F76),"")</f>
        <v>22.4</v>
      </c>
      <c r="M76" s="33"/>
      <c r="N76" s="67" t="s">
        <v>472</v>
      </c>
      <c r="O76" s="8"/>
      <c r="P76" s="8"/>
      <c r="Q76" s="8"/>
    </row>
    <row r="77" spans="1:17" ht="29" customHeight="1" x14ac:dyDescent="0.35">
      <c r="A77" s="31" t="s">
        <v>255</v>
      </c>
      <c r="B77" s="32" t="s">
        <v>178</v>
      </c>
      <c r="C77" s="32" t="s">
        <v>334</v>
      </c>
      <c r="D77" s="32" t="s">
        <v>255</v>
      </c>
      <c r="E77" s="32" t="s">
        <v>260</v>
      </c>
      <c r="F77" s="32">
        <v>50</v>
      </c>
      <c r="G77" s="32">
        <v>177.5</v>
      </c>
      <c r="H77" s="88">
        <v>0.495</v>
      </c>
      <c r="I77" s="89">
        <v>7.8E-2</v>
      </c>
      <c r="J77" s="32">
        <v>143</v>
      </c>
      <c r="K77" s="32">
        <f>IFERROR(SUMIFS('Cable Data'!$J:$J,'Cable Data'!$A:$A,B77,'Cable Data'!$B:$B,C77,'Cable Data'!$C:$C,D77,'Cable Data'!$D:$D,E77,'Cable Data'!$E:$E,F77),"")</f>
        <v>0.65600000000000003</v>
      </c>
      <c r="L77" s="32">
        <f>IFERROR(SUMIFS('Cable Data'!$G:$G,'Cable Data'!$A:$A,B77,'Cable Data'!$B:$B,C77,'Cable Data'!$C:$C,D77,'Cable Data'!$D:$D,E77,'Cable Data'!$E:$E,F77),"")</f>
        <v>21.1</v>
      </c>
      <c r="M77" s="33"/>
      <c r="N77" s="67" t="s">
        <v>472</v>
      </c>
      <c r="O77" s="8"/>
      <c r="P77" s="8"/>
      <c r="Q77" s="8"/>
    </row>
    <row r="78" spans="1:17" x14ac:dyDescent="0.35">
      <c r="A78" s="31" t="s">
        <v>255</v>
      </c>
      <c r="B78" s="32" t="s">
        <v>178</v>
      </c>
      <c r="C78" s="32" t="s">
        <v>334</v>
      </c>
      <c r="D78" s="32" t="s">
        <v>255</v>
      </c>
      <c r="E78" s="32" t="s">
        <v>256</v>
      </c>
      <c r="F78" s="32">
        <v>70</v>
      </c>
      <c r="G78" s="32">
        <v>223.8</v>
      </c>
      <c r="H78" s="88">
        <v>0.34300000000000003</v>
      </c>
      <c r="I78" s="89">
        <v>7.6999999999999999E-2</v>
      </c>
      <c r="J78" s="32">
        <v>143</v>
      </c>
      <c r="K78" s="32">
        <f>IFERROR(SUMIFS('Cable Data'!$J:$J,'Cable Data'!$A:$A,B78,'Cable Data'!$B:$B,C78,'Cable Data'!$C:$C,D78,'Cable Data'!$D:$D,E78,'Cable Data'!$E:$E,F78),"")</f>
        <v>0.45400000000000001</v>
      </c>
      <c r="L78" s="32">
        <f>IFERROR(SUMIFS('Cable Data'!$G:$G,'Cable Data'!$A:$A,B78,'Cable Data'!$B:$B,C78,'Cable Data'!$C:$C,D78,'Cable Data'!$D:$D,E78,'Cable Data'!$E:$E,F78),"")</f>
        <v>25.5</v>
      </c>
      <c r="M78" s="33"/>
      <c r="N78" s="67" t="s">
        <v>472</v>
      </c>
      <c r="O78" s="8"/>
      <c r="P78" s="8"/>
      <c r="Q78" s="8"/>
    </row>
    <row r="79" spans="1:17" ht="29" customHeight="1" x14ac:dyDescent="0.35">
      <c r="A79" s="31" t="s">
        <v>255</v>
      </c>
      <c r="B79" s="32" t="s">
        <v>178</v>
      </c>
      <c r="C79" s="32" t="s">
        <v>334</v>
      </c>
      <c r="D79" s="32" t="s">
        <v>255</v>
      </c>
      <c r="E79" s="32" t="s">
        <v>260</v>
      </c>
      <c r="F79" s="32">
        <v>70</v>
      </c>
      <c r="G79" s="32">
        <v>223.8</v>
      </c>
      <c r="H79" s="88">
        <v>0.34300000000000003</v>
      </c>
      <c r="I79" s="89">
        <v>7.6999999999999999E-2</v>
      </c>
      <c r="J79" s="32">
        <v>143</v>
      </c>
      <c r="K79" s="32">
        <f>IFERROR(SUMIFS('Cable Data'!$J:$J,'Cable Data'!$A:$A,B79,'Cable Data'!$B:$B,C79,'Cable Data'!$C:$C,D79,'Cable Data'!$D:$D,E79,'Cable Data'!$E:$E,F79),"")</f>
        <v>0.45400000000000001</v>
      </c>
      <c r="L79" s="32">
        <f>IFERROR(SUMIFS('Cable Data'!$G:$G,'Cable Data'!$A:$A,B79,'Cable Data'!$B:$B,C79,'Cable Data'!$C:$C,D79,'Cable Data'!$D:$D,E79,'Cable Data'!$E:$E,F79),"")</f>
        <v>24</v>
      </c>
      <c r="M79" s="33"/>
      <c r="N79" s="67" t="s">
        <v>472</v>
      </c>
      <c r="O79" s="8"/>
      <c r="P79" s="8"/>
      <c r="Q79" s="8"/>
    </row>
    <row r="80" spans="1:17" x14ac:dyDescent="0.35">
      <c r="A80" s="31" t="s">
        <v>255</v>
      </c>
      <c r="B80" s="32" t="s">
        <v>178</v>
      </c>
      <c r="C80" s="32" t="s">
        <v>334</v>
      </c>
      <c r="D80" s="32" t="s">
        <v>255</v>
      </c>
      <c r="E80" s="32" t="s">
        <v>256</v>
      </c>
      <c r="F80" s="32">
        <v>95</v>
      </c>
      <c r="G80" s="32">
        <v>276.2</v>
      </c>
      <c r="H80" s="88">
        <v>0.247</v>
      </c>
      <c r="I80" s="89">
        <v>7.3999999999999996E-2</v>
      </c>
      <c r="J80" s="32">
        <v>143</v>
      </c>
      <c r="K80" s="32">
        <f>IFERROR(SUMIFS('Cable Data'!$J:$J,'Cable Data'!$A:$A,B80,'Cable Data'!$B:$B,C80,'Cable Data'!$C:$C,D80,'Cable Data'!$D:$D,E80,'Cable Data'!$E:$E,F80),"")</f>
        <v>0.32800000000000001</v>
      </c>
      <c r="L80" s="32">
        <f>IFERROR(SUMIFS('Cable Data'!$G:$G,'Cable Data'!$A:$A,B80,'Cable Data'!$B:$B,C80,'Cable Data'!$C:$C,D80,'Cable Data'!$D:$D,E80,'Cable Data'!$E:$E,F80),"")</f>
        <v>28.6</v>
      </c>
      <c r="M80" s="33"/>
      <c r="N80" s="67" t="s">
        <v>472</v>
      </c>
      <c r="O80" s="8"/>
      <c r="P80" s="8"/>
      <c r="Q80" s="8"/>
    </row>
    <row r="81" spans="1:17" ht="29" customHeight="1" x14ac:dyDescent="0.35">
      <c r="A81" s="31" t="s">
        <v>255</v>
      </c>
      <c r="B81" s="32" t="s">
        <v>178</v>
      </c>
      <c r="C81" s="32" t="s">
        <v>334</v>
      </c>
      <c r="D81" s="32" t="s">
        <v>255</v>
      </c>
      <c r="E81" s="32" t="s">
        <v>260</v>
      </c>
      <c r="F81" s="32">
        <v>95</v>
      </c>
      <c r="G81" s="32">
        <v>276.2</v>
      </c>
      <c r="H81" s="88">
        <v>0.247</v>
      </c>
      <c r="I81" s="89">
        <v>7.3999999999999996E-2</v>
      </c>
      <c r="J81" s="32">
        <v>143</v>
      </c>
      <c r="K81" s="32">
        <f>IFERROR(SUMIFS('Cable Data'!$J:$J,'Cable Data'!$A:$A,B81,'Cable Data'!$B:$B,C81,'Cable Data'!$C:$C,D81,'Cable Data'!$D:$D,E81,'Cable Data'!$E:$E,F81),"")</f>
        <v>0.32800000000000001</v>
      </c>
      <c r="L81" s="32">
        <f>IFERROR(SUMIFS('Cable Data'!$G:$G,'Cable Data'!$A:$A,B81,'Cable Data'!$B:$B,C81,'Cable Data'!$C:$C,D81,'Cable Data'!$D:$D,E81,'Cable Data'!$E:$E,F81),"")</f>
        <v>26.8</v>
      </c>
      <c r="M81" s="33"/>
      <c r="N81" s="67" t="s">
        <v>472</v>
      </c>
      <c r="O81" s="8"/>
      <c r="P81" s="8"/>
      <c r="Q81" s="8"/>
    </row>
    <row r="82" spans="1:17" x14ac:dyDescent="0.35">
      <c r="A82" s="31" t="s">
        <v>255</v>
      </c>
      <c r="B82" s="32" t="s">
        <v>178</v>
      </c>
      <c r="C82" s="32" t="s">
        <v>334</v>
      </c>
      <c r="D82" s="32" t="s">
        <v>255</v>
      </c>
      <c r="E82" s="32" t="s">
        <v>256</v>
      </c>
      <c r="F82" s="32">
        <v>120</v>
      </c>
      <c r="G82" s="32">
        <v>321.2</v>
      </c>
      <c r="H82" s="88">
        <v>0.19600000000000001</v>
      </c>
      <c r="I82" s="89">
        <v>7.1999999999999995E-2</v>
      </c>
      <c r="J82" s="32">
        <v>143</v>
      </c>
      <c r="K82" s="32">
        <f>IFERROR(SUMIFS('Cable Data'!$J:$J,'Cable Data'!$A:$A,B82,'Cable Data'!$B:$B,C82,'Cable Data'!$C:$C,D82,'Cable Data'!$D:$D,E82,'Cable Data'!$E:$E,F82),"")</f>
        <v>0.26</v>
      </c>
      <c r="L82" s="32">
        <f>IFERROR(SUMIFS('Cable Data'!$G:$G,'Cable Data'!$A:$A,B82,'Cable Data'!$B:$B,C82,'Cable Data'!$C:$C,D82,'Cable Data'!$D:$D,E82,'Cable Data'!$E:$E,F82),"")</f>
        <v>31.6</v>
      </c>
      <c r="M82" s="33"/>
      <c r="N82" s="67" t="s">
        <v>472</v>
      </c>
      <c r="O82" s="8"/>
      <c r="P82" s="8"/>
      <c r="Q82" s="8"/>
    </row>
    <row r="83" spans="1:17" ht="29" customHeight="1" x14ac:dyDescent="0.35">
      <c r="A83" s="31" t="s">
        <v>255</v>
      </c>
      <c r="B83" s="32" t="s">
        <v>178</v>
      </c>
      <c r="C83" s="32" t="s">
        <v>334</v>
      </c>
      <c r="D83" s="32" t="s">
        <v>255</v>
      </c>
      <c r="E83" s="32" t="s">
        <v>260</v>
      </c>
      <c r="F83" s="32">
        <v>120</v>
      </c>
      <c r="G83" s="32">
        <v>321.2</v>
      </c>
      <c r="H83" s="88">
        <v>0.19600000000000001</v>
      </c>
      <c r="I83" s="89">
        <v>7.1999999999999995E-2</v>
      </c>
      <c r="J83" s="32">
        <v>143</v>
      </c>
      <c r="K83" s="32">
        <f>IFERROR(SUMIFS('Cable Data'!$J:$J,'Cable Data'!$A:$A,B83,'Cable Data'!$B:$B,C83,'Cable Data'!$C:$C,D83,'Cable Data'!$D:$D,E83,'Cable Data'!$E:$E,F83),"")</f>
        <v>0.26</v>
      </c>
      <c r="L83" s="32">
        <f>IFERROR(SUMIFS('Cable Data'!$G:$G,'Cable Data'!$A:$A,B83,'Cable Data'!$B:$B,C83,'Cable Data'!$C:$C,D83,'Cable Data'!$D:$D,E83,'Cable Data'!$E:$E,F83),"")</f>
        <v>29.7</v>
      </c>
      <c r="M83" s="33"/>
      <c r="N83" s="67" t="s">
        <v>472</v>
      </c>
      <c r="O83" s="8"/>
      <c r="P83" s="8"/>
      <c r="Q83" s="8"/>
    </row>
    <row r="84" spans="1:17" x14ac:dyDescent="0.35">
      <c r="A84" s="31" t="s">
        <v>255</v>
      </c>
      <c r="B84" s="32" t="s">
        <v>178</v>
      </c>
      <c r="C84" s="32" t="s">
        <v>334</v>
      </c>
      <c r="D84" s="32" t="s">
        <v>255</v>
      </c>
      <c r="E84" s="32" t="s">
        <v>256</v>
      </c>
      <c r="F84" s="32">
        <v>150</v>
      </c>
      <c r="G84" s="32">
        <v>365</v>
      </c>
      <c r="H84" s="88">
        <v>0.159</v>
      </c>
      <c r="I84" s="89">
        <v>7.1999999999999995E-2</v>
      </c>
      <c r="J84" s="32">
        <v>143</v>
      </c>
      <c r="K84" s="32">
        <f>IFERROR(SUMIFS('Cable Data'!$J:$J,'Cable Data'!$A:$A,B84,'Cable Data'!$B:$B,C84,'Cable Data'!$C:$C,D84,'Cable Data'!$D:$D,E84,'Cable Data'!$E:$E,F84),"")</f>
        <v>0.21199999999999999</v>
      </c>
      <c r="L84" s="32">
        <f>IFERROR(SUMIFS('Cable Data'!$G:$G,'Cable Data'!$A:$A,B84,'Cable Data'!$B:$B,C84,'Cable Data'!$C:$C,D84,'Cable Data'!$D:$D,E84,'Cable Data'!$E:$E,F84),"")</f>
        <v>34.700000000000003</v>
      </c>
      <c r="M84" s="33"/>
      <c r="N84" s="67" t="s">
        <v>472</v>
      </c>
      <c r="O84" s="8"/>
      <c r="P84" s="8"/>
      <c r="Q84" s="8"/>
    </row>
    <row r="85" spans="1:17" ht="29" customHeight="1" x14ac:dyDescent="0.35">
      <c r="A85" s="31" t="s">
        <v>255</v>
      </c>
      <c r="B85" s="32" t="s">
        <v>178</v>
      </c>
      <c r="C85" s="32" t="s">
        <v>334</v>
      </c>
      <c r="D85" s="32" t="s">
        <v>255</v>
      </c>
      <c r="E85" s="32" t="s">
        <v>260</v>
      </c>
      <c r="F85" s="32">
        <v>150</v>
      </c>
      <c r="G85" s="32">
        <v>365</v>
      </c>
      <c r="H85" s="88">
        <v>0.159</v>
      </c>
      <c r="I85" s="89">
        <v>7.1999999999999995E-2</v>
      </c>
      <c r="J85" s="32">
        <v>143</v>
      </c>
      <c r="K85" s="32">
        <f>IFERROR(SUMIFS('Cable Data'!$J:$J,'Cable Data'!$A:$A,B85,'Cable Data'!$B:$B,C85,'Cable Data'!$C:$C,D85,'Cable Data'!$D:$D,E85,'Cable Data'!$E:$E,F85),"")</f>
        <v>0.21199999999999999</v>
      </c>
      <c r="L85" s="32">
        <f>IFERROR(SUMIFS('Cable Data'!$G:$G,'Cable Data'!$A:$A,B85,'Cable Data'!$B:$B,C85,'Cable Data'!$C:$C,D85,'Cable Data'!$D:$D,E85,'Cable Data'!$E:$E,F85),"")</f>
        <v>32.6</v>
      </c>
      <c r="M85" s="33"/>
      <c r="N85" s="67" t="s">
        <v>472</v>
      </c>
      <c r="O85" s="8"/>
      <c r="P85" s="8"/>
      <c r="Q85" s="8"/>
    </row>
    <row r="86" spans="1:17" x14ac:dyDescent="0.35">
      <c r="A86" s="31" t="s">
        <v>255</v>
      </c>
      <c r="B86" s="32" t="s">
        <v>178</v>
      </c>
      <c r="C86" s="32" t="s">
        <v>334</v>
      </c>
      <c r="D86" s="32" t="s">
        <v>255</v>
      </c>
      <c r="E86" s="32" t="s">
        <v>256</v>
      </c>
      <c r="F86" s="32">
        <v>185</v>
      </c>
      <c r="G86" s="32">
        <v>421.2</v>
      </c>
      <c r="H86" s="88">
        <v>0.127</v>
      </c>
      <c r="I86" s="89">
        <v>7.1999999999999995E-2</v>
      </c>
      <c r="J86" s="32">
        <v>143</v>
      </c>
      <c r="K86" s="32">
        <f>IFERROR(SUMIFS('Cable Data'!$J:$J,'Cable Data'!$A:$A,B86,'Cable Data'!$B:$B,C86,'Cable Data'!$C:$C,D86,'Cable Data'!$D:$D,E86,'Cable Data'!$E:$E,F86),"")</f>
        <v>0.16900000000000001</v>
      </c>
      <c r="L86" s="32">
        <f>IFERROR(SUMIFS('Cable Data'!$G:$G,'Cable Data'!$A:$A,B86,'Cable Data'!$B:$B,C86,'Cable Data'!$C:$C,D86,'Cable Data'!$D:$D,E86,'Cable Data'!$E:$E,F86),"")</f>
        <v>38.799999999999997</v>
      </c>
      <c r="M86" s="33"/>
      <c r="N86" s="67" t="s">
        <v>472</v>
      </c>
      <c r="O86" s="8"/>
      <c r="P86" s="8"/>
      <c r="Q86" s="8"/>
    </row>
    <row r="87" spans="1:17" ht="29" customHeight="1" x14ac:dyDescent="0.35">
      <c r="A87" s="31" t="s">
        <v>255</v>
      </c>
      <c r="B87" s="32" t="s">
        <v>178</v>
      </c>
      <c r="C87" s="32" t="s">
        <v>334</v>
      </c>
      <c r="D87" s="32" t="s">
        <v>255</v>
      </c>
      <c r="E87" s="32" t="s">
        <v>260</v>
      </c>
      <c r="F87" s="32">
        <v>185</v>
      </c>
      <c r="G87" s="32">
        <v>421.2</v>
      </c>
      <c r="H87" s="88">
        <v>0.127</v>
      </c>
      <c r="I87" s="89">
        <v>7.1999999999999995E-2</v>
      </c>
      <c r="J87" s="32">
        <v>143</v>
      </c>
      <c r="K87" s="32">
        <f>IFERROR(SUMIFS('Cable Data'!$J:$J,'Cable Data'!$A:$A,B87,'Cable Data'!$B:$B,C87,'Cable Data'!$C:$C,D87,'Cable Data'!$D:$D,E87,'Cable Data'!$E:$E,F87),"")</f>
        <v>0.16900000000000001</v>
      </c>
      <c r="L87" s="32">
        <f>IFERROR(SUMIFS('Cable Data'!$G:$G,'Cable Data'!$A:$A,B87,'Cable Data'!$B:$B,C87,'Cable Data'!$C:$C,D87,'Cable Data'!$D:$D,E87,'Cable Data'!$E:$E,F87),"")</f>
        <v>36.4</v>
      </c>
      <c r="M87" s="33"/>
      <c r="N87" s="67" t="s">
        <v>472</v>
      </c>
      <c r="O87" s="8"/>
      <c r="P87" s="8"/>
      <c r="Q87" s="8"/>
    </row>
    <row r="88" spans="1:17" x14ac:dyDescent="0.35">
      <c r="A88" s="31" t="s">
        <v>255</v>
      </c>
      <c r="B88" s="32" t="s">
        <v>178</v>
      </c>
      <c r="C88" s="32" t="s">
        <v>334</v>
      </c>
      <c r="D88" s="32" t="s">
        <v>255</v>
      </c>
      <c r="E88" s="32" t="s">
        <v>256</v>
      </c>
      <c r="F88" s="32">
        <v>240</v>
      </c>
      <c r="G88" s="32">
        <v>498.8</v>
      </c>
      <c r="H88" s="88">
        <v>9.6500000000000002E-2</v>
      </c>
      <c r="I88" s="89">
        <v>7.1999999999999995E-2</v>
      </c>
      <c r="J88" s="32">
        <v>143</v>
      </c>
      <c r="K88" s="32">
        <f>IFERROR(SUMIFS('Cable Data'!$J:$J,'Cable Data'!$A:$A,B88,'Cable Data'!$B:$B,C88,'Cable Data'!$C:$C,D88,'Cable Data'!$D:$D,E88,'Cable Data'!$E:$E,F88),"")</f>
        <v>0.13</v>
      </c>
      <c r="L88" s="32">
        <f>IFERROR(SUMIFS('Cable Data'!$G:$G,'Cable Data'!$A:$A,B88,'Cable Data'!$B:$B,C88,'Cable Data'!$C:$C,D88,'Cable Data'!$D:$D,E88,'Cable Data'!$E:$E,F88),"")</f>
        <v>43.9</v>
      </c>
      <c r="M88" s="33"/>
      <c r="N88" s="67" t="s">
        <v>472</v>
      </c>
      <c r="O88" s="8"/>
      <c r="P88" s="8"/>
      <c r="Q88" s="8"/>
    </row>
    <row r="89" spans="1:17" ht="29" customHeight="1" x14ac:dyDescent="0.35">
      <c r="A89" s="31" t="s">
        <v>255</v>
      </c>
      <c r="B89" s="32" t="s">
        <v>178</v>
      </c>
      <c r="C89" s="32" t="s">
        <v>334</v>
      </c>
      <c r="D89" s="32" t="s">
        <v>255</v>
      </c>
      <c r="E89" s="32" t="s">
        <v>260</v>
      </c>
      <c r="F89" s="32">
        <v>240</v>
      </c>
      <c r="G89" s="32">
        <v>498.8</v>
      </c>
      <c r="H89" s="88">
        <v>9.6500000000000002E-2</v>
      </c>
      <c r="I89" s="89">
        <v>7.1999999999999995E-2</v>
      </c>
      <c r="J89" s="32">
        <v>143</v>
      </c>
      <c r="K89" s="32">
        <f>IFERROR(SUMIFS('Cable Data'!$J:$J,'Cable Data'!$A:$A,B89,'Cable Data'!$B:$B,C89,'Cable Data'!$C:$C,D89,'Cable Data'!$D:$D,E89,'Cable Data'!$E:$E,F89),"")</f>
        <v>0.13</v>
      </c>
      <c r="L89" s="32">
        <f>IFERROR(SUMIFS('Cable Data'!$G:$G,'Cable Data'!$A:$A,B89,'Cable Data'!$B:$B,C89,'Cable Data'!$C:$C,D89,'Cable Data'!$D:$D,E89,'Cable Data'!$E:$E,F89),"")</f>
        <v>41.2</v>
      </c>
      <c r="M89" s="33"/>
      <c r="N89" s="67" t="s">
        <v>472</v>
      </c>
      <c r="O89" s="8"/>
      <c r="P89" s="8"/>
      <c r="Q89" s="8"/>
    </row>
    <row r="90" spans="1:17" x14ac:dyDescent="0.35">
      <c r="A90" s="31" t="s">
        <v>255</v>
      </c>
      <c r="B90" s="32" t="s">
        <v>178</v>
      </c>
      <c r="C90" s="32" t="s">
        <v>334</v>
      </c>
      <c r="D90" s="32" t="s">
        <v>255</v>
      </c>
      <c r="E90" s="32" t="s">
        <v>256</v>
      </c>
      <c r="F90" s="32">
        <v>300</v>
      </c>
      <c r="G90" s="32">
        <v>568.79999999999995</v>
      </c>
      <c r="H90" s="88">
        <v>7.6899999999999996E-2</v>
      </c>
      <c r="I90" s="89">
        <v>7.0999999999999994E-2</v>
      </c>
      <c r="J90" s="32">
        <v>143</v>
      </c>
      <c r="K90" s="32">
        <f>IFERROR(SUMIFS('Cable Data'!$J:$J,'Cable Data'!$A:$A,B90,'Cable Data'!$B:$B,C90,'Cable Data'!$C:$C,D90,'Cable Data'!$D:$D,E90,'Cable Data'!$E:$E,F90),"")</f>
        <v>0.104</v>
      </c>
      <c r="L90" s="32">
        <f>IFERROR(SUMIFS('Cable Data'!$G:$G,'Cable Data'!$A:$A,B90,'Cable Data'!$B:$B,C90,'Cable Data'!$C:$C,D90,'Cable Data'!$D:$D,E90,'Cable Data'!$E:$E,F90),"")</f>
        <v>49</v>
      </c>
      <c r="M90" s="33"/>
      <c r="N90" s="67" t="s">
        <v>472</v>
      </c>
      <c r="O90" s="8"/>
      <c r="P90" s="8"/>
      <c r="Q90" s="8"/>
    </row>
    <row r="91" spans="1:17" ht="29" customHeight="1" x14ac:dyDescent="0.35">
      <c r="A91" s="31" t="s">
        <v>255</v>
      </c>
      <c r="B91" s="32" t="s">
        <v>178</v>
      </c>
      <c r="C91" s="32" t="s">
        <v>334</v>
      </c>
      <c r="D91" s="32" t="s">
        <v>255</v>
      </c>
      <c r="E91" s="32" t="s">
        <v>260</v>
      </c>
      <c r="F91" s="32">
        <v>300</v>
      </c>
      <c r="G91" s="32">
        <v>568.79999999999995</v>
      </c>
      <c r="H91" s="88">
        <v>7.6899999999999996E-2</v>
      </c>
      <c r="I91" s="89">
        <v>7.0999999999999994E-2</v>
      </c>
      <c r="J91" s="32">
        <v>143</v>
      </c>
      <c r="K91" s="32">
        <f>IFERROR(SUMIFS('Cable Data'!$J:$J,'Cable Data'!$A:$A,B91,'Cable Data'!$B:$B,C91,'Cable Data'!$C:$C,D91,'Cable Data'!$D:$D,E91,'Cable Data'!$E:$E,F91),"")</f>
        <v>0.104</v>
      </c>
      <c r="L91" s="32">
        <f>IFERROR(SUMIFS('Cable Data'!$G:$G,'Cable Data'!$A:$A,B91,'Cable Data'!$B:$B,C91,'Cable Data'!$C:$C,D91,'Cable Data'!$D:$D,E91,'Cable Data'!$E:$E,F91),"")</f>
        <v>46</v>
      </c>
      <c r="M91" s="33"/>
      <c r="N91" s="67" t="s">
        <v>472</v>
      </c>
      <c r="O91" s="8"/>
      <c r="P91" s="8"/>
      <c r="Q91" s="8"/>
    </row>
    <row r="92" spans="1:17" x14ac:dyDescent="0.35">
      <c r="A92" s="31" t="s">
        <v>255</v>
      </c>
      <c r="B92" s="32" t="s">
        <v>178</v>
      </c>
      <c r="C92" s="32" t="s">
        <v>334</v>
      </c>
      <c r="D92" s="32" t="s">
        <v>255</v>
      </c>
      <c r="E92" s="32" t="s">
        <v>256</v>
      </c>
      <c r="F92" s="32">
        <v>400</v>
      </c>
      <c r="G92" s="32">
        <v>662.5</v>
      </c>
      <c r="H92" s="88">
        <v>6.0199999999999997E-2</v>
      </c>
      <c r="I92" s="89">
        <v>7.0000000000000007E-2</v>
      </c>
      <c r="J92" s="32">
        <v>143</v>
      </c>
      <c r="K92" s="32">
        <f>IFERROR(SUMIFS('Cable Data'!$J:$J,'Cable Data'!$A:$A,B92,'Cable Data'!$B:$B,C92,'Cable Data'!$C:$C,D92,'Cable Data'!$D:$D,E92,'Cable Data'!$E:$E,F92),"")</f>
        <v>8.2000000000000003E-2</v>
      </c>
      <c r="L92" s="32">
        <f>IFERROR(SUMIFS('Cable Data'!$G:$G,'Cable Data'!$A:$A,B92,'Cable Data'!$B:$B,C92,'Cable Data'!$C:$C,D92,'Cable Data'!$D:$D,E92,'Cable Data'!$E:$E,F92),"")</f>
        <v>55.1</v>
      </c>
      <c r="M92" s="33"/>
      <c r="N92" s="67" t="s">
        <v>472</v>
      </c>
      <c r="O92" s="8"/>
      <c r="P92" s="8"/>
      <c r="Q92" s="8"/>
    </row>
    <row r="93" spans="1:17" ht="29" customHeight="1" x14ac:dyDescent="0.35">
      <c r="A93" s="31" t="s">
        <v>255</v>
      </c>
      <c r="B93" s="32" t="s">
        <v>178</v>
      </c>
      <c r="C93" s="32" t="s">
        <v>334</v>
      </c>
      <c r="D93" s="32" t="s">
        <v>255</v>
      </c>
      <c r="E93" s="32" t="s">
        <v>260</v>
      </c>
      <c r="F93" s="32">
        <v>400</v>
      </c>
      <c r="G93" s="32">
        <v>662.5</v>
      </c>
      <c r="H93" s="88">
        <v>6.0199999999999997E-2</v>
      </c>
      <c r="I93" s="89">
        <v>7.0000000000000007E-2</v>
      </c>
      <c r="J93" s="32">
        <v>143</v>
      </c>
      <c r="K93" s="32">
        <f>IFERROR(SUMIFS('Cable Data'!$J:$J,'Cable Data'!$A:$A,B93,'Cable Data'!$B:$B,C93,'Cable Data'!$C:$C,D93,'Cable Data'!$D:$D,E93,'Cable Data'!$E:$E,F93),"")</f>
        <v>8.2000000000000003E-2</v>
      </c>
      <c r="L93" s="32">
        <f>IFERROR(SUMIFS('Cable Data'!$G:$G,'Cable Data'!$A:$A,B93,'Cable Data'!$B:$B,C93,'Cable Data'!$C:$C,D93,'Cable Data'!$D:$D,E93,'Cable Data'!$E:$E,F93),"")</f>
        <v>51.8</v>
      </c>
      <c r="M93" s="33"/>
      <c r="N93" s="67" t="s">
        <v>472</v>
      </c>
      <c r="O93" s="8"/>
      <c r="P93" s="8"/>
      <c r="Q93" s="8"/>
    </row>
    <row r="94" spans="1:17" x14ac:dyDescent="0.35">
      <c r="A94" s="31" t="s">
        <v>255</v>
      </c>
      <c r="B94" s="32" t="s">
        <v>282</v>
      </c>
      <c r="C94" s="32" t="s">
        <v>334</v>
      </c>
      <c r="D94" s="32" t="s">
        <v>255</v>
      </c>
      <c r="E94" s="32" t="s">
        <v>256</v>
      </c>
      <c r="F94" s="32">
        <v>16</v>
      </c>
      <c r="G94" s="32">
        <v>91.2</v>
      </c>
      <c r="H94" s="88">
        <v>1.47</v>
      </c>
      <c r="I94" s="89">
        <v>0.08</v>
      </c>
      <c r="J94" s="32">
        <v>143</v>
      </c>
      <c r="K94" s="32">
        <f>IFERROR(SUMIFS('Cable Data'!$J:$J,'Cable Data'!$A:$A,B94,'Cable Data'!$B:$B,C94,'Cable Data'!$C:$C,D94,'Cable Data'!$D:$D,E94,'Cable Data'!$E:$E,F94),"")</f>
        <v>3.3919999999999999</v>
      </c>
      <c r="L94" s="32">
        <f>IFERROR(SUMIFS('Cable Data'!$G:$G,'Cable Data'!$A:$A,B94,'Cable Data'!$B:$B,C94,'Cable Data'!$C:$C,D94,'Cable Data'!$D:$D,E94,'Cable Data'!$E:$E,F94),"")</f>
        <v>16.2</v>
      </c>
      <c r="M94" s="33"/>
      <c r="N94" s="67" t="s">
        <v>472</v>
      </c>
      <c r="O94" s="8"/>
      <c r="P94" s="8"/>
      <c r="Q94" s="8"/>
    </row>
    <row r="95" spans="1:17" ht="29" customHeight="1" x14ac:dyDescent="0.35">
      <c r="A95" s="31" t="s">
        <v>255</v>
      </c>
      <c r="B95" s="32" t="s">
        <v>282</v>
      </c>
      <c r="C95" s="32" t="s">
        <v>334</v>
      </c>
      <c r="D95" s="32" t="s">
        <v>255</v>
      </c>
      <c r="E95" s="32" t="s">
        <v>260</v>
      </c>
      <c r="F95" s="32">
        <v>16</v>
      </c>
      <c r="G95" s="32">
        <v>91.2</v>
      </c>
      <c r="H95" s="88">
        <v>1.47</v>
      </c>
      <c r="I95" s="89">
        <v>0.08</v>
      </c>
      <c r="J95" s="32">
        <v>143</v>
      </c>
      <c r="K95" s="32">
        <f>IFERROR(SUMIFS('Cable Data'!$J:$J,'Cable Data'!$A:$A,B95,'Cable Data'!$B:$B,C95,'Cable Data'!$C:$C,D95,'Cable Data'!$D:$D,E95,'Cable Data'!$E:$E,F95),"")</f>
        <v>3.3919999999999999</v>
      </c>
      <c r="L95" s="32">
        <f>IFERROR(SUMIFS('Cable Data'!$G:$G,'Cable Data'!$A:$A,B95,'Cable Data'!$B:$B,C95,'Cable Data'!$C:$C,D95,'Cable Data'!$D:$D,E95,'Cable Data'!$E:$E,F95),"")</f>
        <v>15.2</v>
      </c>
      <c r="M95" s="33"/>
      <c r="N95" s="67" t="s">
        <v>472</v>
      </c>
      <c r="O95" s="8"/>
      <c r="P95" s="8"/>
      <c r="Q95" s="8"/>
    </row>
    <row r="96" spans="1:17" x14ac:dyDescent="0.35">
      <c r="A96" s="31" t="s">
        <v>255</v>
      </c>
      <c r="B96" s="32" t="s">
        <v>282</v>
      </c>
      <c r="C96" s="32" t="s">
        <v>334</v>
      </c>
      <c r="D96" s="32" t="s">
        <v>255</v>
      </c>
      <c r="E96" s="32" t="s">
        <v>256</v>
      </c>
      <c r="F96" s="32">
        <v>25</v>
      </c>
      <c r="G96" s="32">
        <v>118.8</v>
      </c>
      <c r="H96" s="88">
        <v>0.93</v>
      </c>
      <c r="I96" s="89">
        <v>0.08</v>
      </c>
      <c r="J96" s="32">
        <v>143</v>
      </c>
      <c r="K96" s="32">
        <f>IFERROR(SUMIFS('Cable Data'!$J:$J,'Cable Data'!$A:$A,B96,'Cable Data'!$B:$B,C96,'Cable Data'!$C:$C,D96,'Cable Data'!$D:$D,E96,'Cable Data'!$E:$E,F96),"")</f>
        <v>2.1360000000000001</v>
      </c>
      <c r="L96" s="32">
        <f>IFERROR(SUMIFS('Cable Data'!$G:$G,'Cable Data'!$A:$A,B96,'Cable Data'!$B:$B,C96,'Cable Data'!$C:$C,D96,'Cable Data'!$D:$D,E96,'Cable Data'!$E:$E,F96),"")</f>
        <v>18.899999999999999</v>
      </c>
      <c r="M96" s="33"/>
      <c r="N96" s="67" t="s">
        <v>472</v>
      </c>
      <c r="O96" s="8"/>
      <c r="P96" s="8"/>
      <c r="Q96" s="8"/>
    </row>
    <row r="97" spans="1:17" ht="29" customHeight="1" x14ac:dyDescent="0.35">
      <c r="A97" s="31" t="s">
        <v>255</v>
      </c>
      <c r="B97" s="32" t="s">
        <v>282</v>
      </c>
      <c r="C97" s="32" t="s">
        <v>334</v>
      </c>
      <c r="D97" s="32" t="s">
        <v>255</v>
      </c>
      <c r="E97" s="32" t="s">
        <v>260</v>
      </c>
      <c r="F97" s="32">
        <v>25</v>
      </c>
      <c r="G97" s="32">
        <v>118.8</v>
      </c>
      <c r="H97" s="88">
        <v>0.93</v>
      </c>
      <c r="I97" s="89">
        <v>0.08</v>
      </c>
      <c r="J97" s="32">
        <v>143</v>
      </c>
      <c r="K97" s="32">
        <f>IFERROR(SUMIFS('Cable Data'!$J:$J,'Cable Data'!$A:$A,B97,'Cable Data'!$B:$B,C97,'Cable Data'!$C:$C,D97,'Cable Data'!$D:$D,E97,'Cable Data'!$E:$E,F97),"")</f>
        <v>2.1360000000000001</v>
      </c>
      <c r="L97" s="32">
        <f>IFERROR(SUMIFS('Cable Data'!$G:$G,'Cable Data'!$A:$A,B97,'Cable Data'!$B:$B,C97,'Cable Data'!$C:$C,D97,'Cable Data'!$D:$D,E97,'Cable Data'!$E:$E,F97),"")</f>
        <v>17.8</v>
      </c>
      <c r="M97" s="33"/>
      <c r="N97" s="67" t="s">
        <v>472</v>
      </c>
      <c r="O97" s="8"/>
      <c r="P97" s="8"/>
      <c r="Q97" s="8"/>
    </row>
    <row r="98" spans="1:17" x14ac:dyDescent="0.35">
      <c r="A98" s="31" t="s">
        <v>255</v>
      </c>
      <c r="B98" s="32" t="s">
        <v>282</v>
      </c>
      <c r="C98" s="32" t="s">
        <v>334</v>
      </c>
      <c r="D98" s="32" t="s">
        <v>255</v>
      </c>
      <c r="E98" s="32" t="s">
        <v>256</v>
      </c>
      <c r="F98" s="32">
        <v>35</v>
      </c>
      <c r="G98" s="32">
        <v>142.5</v>
      </c>
      <c r="H98" s="88">
        <v>0.67100000000000004</v>
      </c>
      <c r="I98" s="89">
        <v>0.08</v>
      </c>
      <c r="J98" s="32">
        <v>143</v>
      </c>
      <c r="K98" s="32">
        <f>IFERROR(SUMIFS('Cable Data'!$J:$J,'Cable Data'!$A:$A,B98,'Cable Data'!$B:$B,C98,'Cable Data'!$C:$C,D98,'Cable Data'!$D:$D,E98,'Cable Data'!$E:$E,F98),"")</f>
        <v>1.552</v>
      </c>
      <c r="L98" s="32">
        <f>IFERROR(SUMIFS('Cable Data'!$G:$G,'Cable Data'!$A:$A,B98,'Cable Data'!$B:$B,C98,'Cable Data'!$C:$C,D98,'Cable Data'!$D:$D,E98,'Cable Data'!$E:$E,F98),"")</f>
        <v>20.5</v>
      </c>
      <c r="M98" s="33"/>
      <c r="N98" s="67" t="s">
        <v>472</v>
      </c>
      <c r="O98" s="8"/>
      <c r="P98" s="8"/>
      <c r="Q98" s="8"/>
    </row>
    <row r="99" spans="1:17" ht="29" customHeight="1" x14ac:dyDescent="0.35">
      <c r="A99" s="31" t="s">
        <v>255</v>
      </c>
      <c r="B99" s="32" t="s">
        <v>282</v>
      </c>
      <c r="C99" s="32" t="s">
        <v>334</v>
      </c>
      <c r="D99" s="32" t="s">
        <v>255</v>
      </c>
      <c r="E99" s="32" t="s">
        <v>260</v>
      </c>
      <c r="F99" s="32">
        <v>35</v>
      </c>
      <c r="G99" s="32">
        <v>142.5</v>
      </c>
      <c r="H99" s="88">
        <v>0.67100000000000004</v>
      </c>
      <c r="I99" s="89">
        <v>0.08</v>
      </c>
      <c r="J99" s="32">
        <v>143</v>
      </c>
      <c r="K99" s="32">
        <f>IFERROR(SUMIFS('Cable Data'!$J:$J,'Cable Data'!$A:$A,B99,'Cable Data'!$B:$B,C99,'Cable Data'!$C:$C,D99,'Cable Data'!$D:$D,E99,'Cable Data'!$E:$E,F99),"")</f>
        <v>1.552</v>
      </c>
      <c r="L99" s="32">
        <f>IFERROR(SUMIFS('Cable Data'!$G:$G,'Cable Data'!$A:$A,B99,'Cable Data'!$B:$B,C99,'Cable Data'!$C:$C,D99,'Cable Data'!$D:$D,E99,'Cable Data'!$E:$E,F99),"")</f>
        <v>19.3</v>
      </c>
      <c r="M99" s="33"/>
      <c r="N99" s="67" t="s">
        <v>472</v>
      </c>
      <c r="O99" s="8"/>
      <c r="P99" s="8"/>
      <c r="Q99" s="8"/>
    </row>
    <row r="100" spans="1:17" x14ac:dyDescent="0.35">
      <c r="A100" s="31" t="s">
        <v>255</v>
      </c>
      <c r="B100" s="32" t="s">
        <v>282</v>
      </c>
      <c r="C100" s="32" t="s">
        <v>334</v>
      </c>
      <c r="D100" s="32" t="s">
        <v>255</v>
      </c>
      <c r="E100" s="32" t="s">
        <v>256</v>
      </c>
      <c r="F100" s="32">
        <v>50</v>
      </c>
      <c r="G100" s="32">
        <v>172.5</v>
      </c>
      <c r="H100" s="88">
        <v>0.495</v>
      </c>
      <c r="I100" s="89">
        <v>7.8E-2</v>
      </c>
      <c r="J100" s="32">
        <v>143</v>
      </c>
      <c r="K100" s="32">
        <f>IFERROR(SUMIFS('Cable Data'!$J:$J,'Cable Data'!$A:$A,B100,'Cable Data'!$B:$B,C100,'Cable Data'!$C:$C,D100,'Cable Data'!$D:$D,E100,'Cable Data'!$E:$E,F100),"")</f>
        <v>1.1519999999999999</v>
      </c>
      <c r="L100" s="32">
        <f>IFERROR(SUMIFS('Cable Data'!$G:$G,'Cable Data'!$A:$A,B100,'Cable Data'!$B:$B,C100,'Cable Data'!$C:$C,D100,'Cable Data'!$D:$D,E100,'Cable Data'!$E:$E,F100),"")</f>
        <v>23.8</v>
      </c>
      <c r="M100" s="33"/>
      <c r="N100" s="67" t="s">
        <v>472</v>
      </c>
      <c r="O100" s="8"/>
      <c r="P100" s="8"/>
      <c r="Q100" s="8"/>
    </row>
    <row r="101" spans="1:17" ht="29" customHeight="1" x14ac:dyDescent="0.35">
      <c r="A101" s="31" t="s">
        <v>255</v>
      </c>
      <c r="B101" s="32" t="s">
        <v>282</v>
      </c>
      <c r="C101" s="32" t="s">
        <v>334</v>
      </c>
      <c r="D101" s="32" t="s">
        <v>255</v>
      </c>
      <c r="E101" s="32" t="s">
        <v>260</v>
      </c>
      <c r="F101" s="32">
        <v>50</v>
      </c>
      <c r="G101" s="32">
        <v>172.5</v>
      </c>
      <c r="H101" s="88">
        <v>0.495</v>
      </c>
      <c r="I101" s="89">
        <v>7.8E-2</v>
      </c>
      <c r="J101" s="32">
        <v>143</v>
      </c>
      <c r="K101" s="32">
        <f>IFERROR(SUMIFS('Cable Data'!$J:$J,'Cable Data'!$A:$A,B101,'Cable Data'!$B:$B,C101,'Cable Data'!$C:$C,D101,'Cable Data'!$D:$D,E101,'Cable Data'!$E:$E,F101),"")</f>
        <v>1.1519999999999999</v>
      </c>
      <c r="L101" s="32">
        <f>IFERROR(SUMIFS('Cable Data'!$G:$G,'Cable Data'!$A:$A,B101,'Cable Data'!$B:$B,C101,'Cable Data'!$C:$C,D101,'Cable Data'!$D:$D,E101,'Cable Data'!$E:$E,F101),"")</f>
        <v>22.4</v>
      </c>
      <c r="M101" s="33"/>
      <c r="N101" s="67" t="s">
        <v>472</v>
      </c>
      <c r="O101" s="8"/>
      <c r="P101" s="8"/>
      <c r="Q101" s="8"/>
    </row>
    <row r="102" spans="1:17" x14ac:dyDescent="0.35">
      <c r="A102" s="31" t="s">
        <v>255</v>
      </c>
      <c r="B102" s="32" t="s">
        <v>282</v>
      </c>
      <c r="C102" s="32" t="s">
        <v>334</v>
      </c>
      <c r="D102" s="32" t="s">
        <v>255</v>
      </c>
      <c r="E102" s="32" t="s">
        <v>256</v>
      </c>
      <c r="F102" s="32">
        <v>70</v>
      </c>
      <c r="G102" s="32">
        <v>218.8</v>
      </c>
      <c r="H102" s="88">
        <v>0.34300000000000003</v>
      </c>
      <c r="I102" s="89">
        <v>7.6999999999999999E-2</v>
      </c>
      <c r="J102" s="32">
        <v>143</v>
      </c>
      <c r="K102" s="32">
        <f>IFERROR(SUMIFS('Cable Data'!$J:$J,'Cable Data'!$A:$A,B102,'Cable Data'!$B:$B,C102,'Cable Data'!$C:$C,D102,'Cable Data'!$D:$D,E102,'Cable Data'!$E:$E,F102),"")</f>
        <v>0.8</v>
      </c>
      <c r="L102" s="32">
        <f>IFERROR(SUMIFS('Cable Data'!$G:$G,'Cable Data'!$A:$A,B102,'Cable Data'!$B:$B,C102,'Cable Data'!$C:$C,D102,'Cable Data'!$D:$D,E102,'Cable Data'!$E:$E,F102),"")</f>
        <v>27</v>
      </c>
      <c r="M102" s="33"/>
      <c r="N102" s="67" t="s">
        <v>472</v>
      </c>
      <c r="O102" s="8"/>
      <c r="P102" s="8"/>
      <c r="Q102" s="8"/>
    </row>
    <row r="103" spans="1:17" ht="29" customHeight="1" x14ac:dyDescent="0.35">
      <c r="A103" s="31" t="s">
        <v>255</v>
      </c>
      <c r="B103" s="32" t="s">
        <v>282</v>
      </c>
      <c r="C103" s="32" t="s">
        <v>334</v>
      </c>
      <c r="D103" s="32" t="s">
        <v>255</v>
      </c>
      <c r="E103" s="32" t="s">
        <v>260</v>
      </c>
      <c r="F103" s="32">
        <v>70</v>
      </c>
      <c r="G103" s="32">
        <v>218.8</v>
      </c>
      <c r="H103" s="88">
        <v>0.34300000000000003</v>
      </c>
      <c r="I103" s="89">
        <v>7.6999999999999999E-2</v>
      </c>
      <c r="J103" s="32">
        <v>143</v>
      </c>
      <c r="K103" s="32">
        <f>IFERROR(SUMIFS('Cable Data'!$J:$J,'Cable Data'!$A:$A,B103,'Cable Data'!$B:$B,C103,'Cable Data'!$C:$C,D103,'Cable Data'!$D:$D,E103,'Cable Data'!$E:$E,F103),"")</f>
        <v>0.8</v>
      </c>
      <c r="L103" s="32">
        <f>IFERROR(SUMIFS('Cable Data'!$G:$G,'Cable Data'!$A:$A,B103,'Cable Data'!$B:$B,C103,'Cable Data'!$C:$C,D103,'Cable Data'!$D:$D,E103,'Cable Data'!$E:$E,F103),"")</f>
        <v>25.4</v>
      </c>
      <c r="M103" s="33"/>
      <c r="N103" s="67" t="s">
        <v>472</v>
      </c>
      <c r="O103" s="8"/>
      <c r="P103" s="8"/>
      <c r="Q103" s="8"/>
    </row>
    <row r="104" spans="1:17" x14ac:dyDescent="0.35">
      <c r="A104" s="31" t="s">
        <v>255</v>
      </c>
      <c r="B104" s="32" t="s">
        <v>282</v>
      </c>
      <c r="C104" s="32" t="s">
        <v>334</v>
      </c>
      <c r="D104" s="32" t="s">
        <v>255</v>
      </c>
      <c r="E104" s="32" t="s">
        <v>256</v>
      </c>
      <c r="F104" s="32">
        <v>95</v>
      </c>
      <c r="G104" s="32">
        <v>270</v>
      </c>
      <c r="H104" s="88">
        <v>0.247</v>
      </c>
      <c r="I104" s="89">
        <v>7.3999999999999996E-2</v>
      </c>
      <c r="J104" s="32">
        <v>143</v>
      </c>
      <c r="K104" s="32">
        <f>IFERROR(SUMIFS('Cable Data'!$J:$J,'Cable Data'!$A:$A,B104,'Cable Data'!$B:$B,C104,'Cable Data'!$C:$C,D104,'Cable Data'!$D:$D,E104,'Cable Data'!$E:$E,F104),"")</f>
        <v>0.56000000000000005</v>
      </c>
      <c r="L104" s="32">
        <f>IFERROR(SUMIFS('Cable Data'!$G:$G,'Cable Data'!$A:$A,B104,'Cable Data'!$B:$B,C104,'Cable Data'!$C:$C,D104,'Cable Data'!$D:$D,E104,'Cable Data'!$E:$E,F104),"")</f>
        <v>30.3</v>
      </c>
      <c r="M104" s="33"/>
      <c r="N104" s="67" t="s">
        <v>472</v>
      </c>
      <c r="O104" s="8"/>
      <c r="P104" s="8"/>
      <c r="Q104" s="8"/>
    </row>
    <row r="105" spans="1:17" ht="29" customHeight="1" x14ac:dyDescent="0.35">
      <c r="A105" s="31" t="s">
        <v>255</v>
      </c>
      <c r="B105" s="32" t="s">
        <v>282</v>
      </c>
      <c r="C105" s="32" t="s">
        <v>334</v>
      </c>
      <c r="D105" s="32" t="s">
        <v>255</v>
      </c>
      <c r="E105" s="32" t="s">
        <v>260</v>
      </c>
      <c r="F105" s="32">
        <v>95</v>
      </c>
      <c r="G105" s="32">
        <v>270</v>
      </c>
      <c r="H105" s="88">
        <v>0.247</v>
      </c>
      <c r="I105" s="89">
        <v>7.3999999999999996E-2</v>
      </c>
      <c r="J105" s="32">
        <v>143</v>
      </c>
      <c r="K105" s="32">
        <f>IFERROR(SUMIFS('Cable Data'!$J:$J,'Cable Data'!$A:$A,B105,'Cable Data'!$B:$B,C105,'Cable Data'!$C:$C,D105,'Cable Data'!$D:$D,E105,'Cable Data'!$E:$E,F105),"")</f>
        <v>0.56000000000000005</v>
      </c>
      <c r="L105" s="32">
        <f>IFERROR(SUMIFS('Cable Data'!$G:$G,'Cable Data'!$A:$A,B105,'Cable Data'!$B:$B,C105,'Cable Data'!$C:$C,D105,'Cable Data'!$D:$D,E105,'Cable Data'!$E:$E,F105),"")</f>
        <v>28.5</v>
      </c>
      <c r="M105" s="33"/>
      <c r="N105" s="67" t="s">
        <v>472</v>
      </c>
      <c r="O105" s="8"/>
      <c r="P105" s="8"/>
      <c r="Q105" s="8"/>
    </row>
    <row r="106" spans="1:17" x14ac:dyDescent="0.35">
      <c r="A106" s="31" t="s">
        <v>255</v>
      </c>
      <c r="B106" s="32" t="s">
        <v>282</v>
      </c>
      <c r="C106" s="32" t="s">
        <v>334</v>
      </c>
      <c r="D106" s="32" t="s">
        <v>255</v>
      </c>
      <c r="E106" s="32" t="s">
        <v>256</v>
      </c>
      <c r="F106" s="32">
        <v>120</v>
      </c>
      <c r="G106" s="32">
        <v>311.2</v>
      </c>
      <c r="H106" s="88">
        <v>0.19600000000000001</v>
      </c>
      <c r="I106" s="89">
        <v>7.1999999999999995E-2</v>
      </c>
      <c r="J106" s="32">
        <v>143</v>
      </c>
      <c r="K106" s="32">
        <f>IFERROR(SUMIFS('Cable Data'!$J:$J,'Cable Data'!$A:$A,B106,'Cable Data'!$B:$B,C106,'Cable Data'!$C:$C,D106,'Cable Data'!$D:$D,E106,'Cable Data'!$E:$E,F106),"")</f>
        <v>0.44800000000000001</v>
      </c>
      <c r="L106" s="32">
        <f>IFERROR(SUMIFS('Cable Data'!$G:$G,'Cable Data'!$A:$A,B106,'Cable Data'!$B:$B,C106,'Cable Data'!$C:$C,D106,'Cable Data'!$D:$D,E106,'Cable Data'!$E:$E,F106),"")</f>
        <v>33.5</v>
      </c>
      <c r="M106" s="33"/>
      <c r="N106" s="67" t="s">
        <v>472</v>
      </c>
      <c r="O106" s="8"/>
      <c r="P106" s="8"/>
      <c r="Q106" s="8"/>
    </row>
    <row r="107" spans="1:17" ht="29" customHeight="1" x14ac:dyDescent="0.35">
      <c r="A107" s="31" t="s">
        <v>255</v>
      </c>
      <c r="B107" s="32" t="s">
        <v>282</v>
      </c>
      <c r="C107" s="32" t="s">
        <v>334</v>
      </c>
      <c r="D107" s="32" t="s">
        <v>255</v>
      </c>
      <c r="E107" s="32" t="s">
        <v>260</v>
      </c>
      <c r="F107" s="32">
        <v>120</v>
      </c>
      <c r="G107" s="32">
        <v>311.2</v>
      </c>
      <c r="H107" s="88">
        <v>0.19600000000000001</v>
      </c>
      <c r="I107" s="89">
        <v>7.1999999999999995E-2</v>
      </c>
      <c r="J107" s="32">
        <v>143</v>
      </c>
      <c r="K107" s="32">
        <f>IFERROR(SUMIFS('Cable Data'!$J:$J,'Cable Data'!$A:$A,B107,'Cable Data'!$B:$B,C107,'Cable Data'!$C:$C,D107,'Cable Data'!$D:$D,E107,'Cable Data'!$E:$E,F107),"")</f>
        <v>0.44800000000000001</v>
      </c>
      <c r="L107" s="32">
        <f>IFERROR(SUMIFS('Cable Data'!$G:$G,'Cable Data'!$A:$A,B107,'Cable Data'!$B:$B,C107,'Cable Data'!$C:$C,D107,'Cable Data'!$D:$D,E107,'Cable Data'!$E:$E,F107),"")</f>
        <v>31.5</v>
      </c>
      <c r="M107" s="33"/>
      <c r="N107" s="67" t="s">
        <v>472</v>
      </c>
      <c r="O107" s="8"/>
      <c r="P107" s="8"/>
      <c r="Q107" s="8"/>
    </row>
    <row r="108" spans="1:17" x14ac:dyDescent="0.35">
      <c r="A108" s="31" t="s">
        <v>255</v>
      </c>
      <c r="B108" s="32" t="s">
        <v>282</v>
      </c>
      <c r="C108" s="32" t="s">
        <v>334</v>
      </c>
      <c r="D108" s="32" t="s">
        <v>255</v>
      </c>
      <c r="E108" s="32" t="s">
        <v>256</v>
      </c>
      <c r="F108" s="32">
        <v>150</v>
      </c>
      <c r="G108" s="32">
        <v>355</v>
      </c>
      <c r="H108" s="88">
        <v>0.159</v>
      </c>
      <c r="I108" s="89">
        <v>7.1999999999999995E-2</v>
      </c>
      <c r="J108" s="32">
        <v>143</v>
      </c>
      <c r="K108" s="32">
        <f>IFERROR(SUMIFS('Cable Data'!$J:$J,'Cable Data'!$A:$A,B108,'Cable Data'!$B:$B,C108,'Cable Data'!$C:$C,D108,'Cable Data'!$D:$D,E108,'Cable Data'!$E:$E,F108),"")</f>
        <v>0.38400000000000001</v>
      </c>
      <c r="L108" s="32">
        <f>IFERROR(SUMIFS('Cable Data'!$G:$G,'Cable Data'!$A:$A,B108,'Cable Data'!$B:$B,C108,'Cable Data'!$C:$C,D108,'Cable Data'!$D:$D,E108,'Cable Data'!$E:$E,F108),"")</f>
        <v>36.799999999999997</v>
      </c>
      <c r="M108" s="33"/>
      <c r="N108" s="67" t="s">
        <v>472</v>
      </c>
      <c r="O108" s="8"/>
      <c r="P108" s="8"/>
      <c r="Q108" s="8"/>
    </row>
    <row r="109" spans="1:17" ht="29" customHeight="1" x14ac:dyDescent="0.35">
      <c r="A109" s="31" t="s">
        <v>255</v>
      </c>
      <c r="B109" s="32" t="s">
        <v>282</v>
      </c>
      <c r="C109" s="32" t="s">
        <v>334</v>
      </c>
      <c r="D109" s="32" t="s">
        <v>255</v>
      </c>
      <c r="E109" s="32" t="s">
        <v>260</v>
      </c>
      <c r="F109" s="32">
        <v>150</v>
      </c>
      <c r="G109" s="32">
        <v>355</v>
      </c>
      <c r="H109" s="88">
        <v>0.159</v>
      </c>
      <c r="I109" s="89">
        <v>7.1999999999999995E-2</v>
      </c>
      <c r="J109" s="32">
        <v>143</v>
      </c>
      <c r="K109" s="32">
        <f>IFERROR(SUMIFS('Cable Data'!$J:$J,'Cable Data'!$A:$A,B109,'Cable Data'!$B:$B,C109,'Cable Data'!$C:$C,D109,'Cable Data'!$D:$D,E109,'Cable Data'!$E:$E,F109),"")</f>
        <v>0.38400000000000001</v>
      </c>
      <c r="L109" s="32">
        <f>IFERROR(SUMIFS('Cable Data'!$G:$G,'Cable Data'!$A:$A,B109,'Cable Data'!$B:$B,C109,'Cable Data'!$C:$C,D109,'Cable Data'!$D:$D,E109,'Cable Data'!$E:$E,F109),"")</f>
        <v>34.6</v>
      </c>
      <c r="M109" s="33"/>
      <c r="N109" s="67" t="s">
        <v>472</v>
      </c>
      <c r="O109" s="8"/>
      <c r="P109" s="8"/>
      <c r="Q109" s="8"/>
    </row>
    <row r="110" spans="1:17" x14ac:dyDescent="0.35">
      <c r="A110" s="31" t="s">
        <v>255</v>
      </c>
      <c r="B110" s="32" t="s">
        <v>282</v>
      </c>
      <c r="C110" s="32" t="s">
        <v>334</v>
      </c>
      <c r="D110" s="32" t="s">
        <v>255</v>
      </c>
      <c r="E110" s="32" t="s">
        <v>256</v>
      </c>
      <c r="F110" s="32">
        <v>185</v>
      </c>
      <c r="G110" s="32">
        <v>411.2</v>
      </c>
      <c r="H110" s="88">
        <v>0.127</v>
      </c>
      <c r="I110" s="89">
        <v>7.1999999999999995E-2</v>
      </c>
      <c r="J110" s="32">
        <v>143</v>
      </c>
      <c r="K110" s="32">
        <f>IFERROR(SUMIFS('Cable Data'!$J:$J,'Cable Data'!$A:$A,B110,'Cable Data'!$B:$B,C110,'Cable Data'!$C:$C,D110,'Cable Data'!$D:$D,E110,'Cable Data'!$E:$E,F110),"")</f>
        <v>0.32</v>
      </c>
      <c r="L110" s="32">
        <f>IFERROR(SUMIFS('Cable Data'!$G:$G,'Cable Data'!$A:$A,B110,'Cable Data'!$B:$B,C110,'Cable Data'!$C:$C,D110,'Cable Data'!$D:$D,E110,'Cable Data'!$E:$E,F110),"")</f>
        <v>41.1</v>
      </c>
      <c r="M110" s="33"/>
      <c r="N110" s="67" t="s">
        <v>472</v>
      </c>
      <c r="O110" s="8"/>
      <c r="P110" s="8"/>
      <c r="Q110" s="8"/>
    </row>
    <row r="111" spans="1:17" ht="29" customHeight="1" x14ac:dyDescent="0.35">
      <c r="A111" s="31" t="s">
        <v>255</v>
      </c>
      <c r="B111" s="32" t="s">
        <v>282</v>
      </c>
      <c r="C111" s="32" t="s">
        <v>334</v>
      </c>
      <c r="D111" s="32" t="s">
        <v>255</v>
      </c>
      <c r="E111" s="32" t="s">
        <v>260</v>
      </c>
      <c r="F111" s="32">
        <v>185</v>
      </c>
      <c r="G111" s="32">
        <v>411.2</v>
      </c>
      <c r="H111" s="88">
        <v>0.127</v>
      </c>
      <c r="I111" s="89">
        <v>7.1999999999999995E-2</v>
      </c>
      <c r="J111" s="32">
        <v>143</v>
      </c>
      <c r="K111" s="32">
        <f>IFERROR(SUMIFS('Cable Data'!$J:$J,'Cable Data'!$A:$A,B111,'Cable Data'!$B:$B,C111,'Cable Data'!$C:$C,D111,'Cable Data'!$D:$D,E111,'Cable Data'!$E:$E,F111),"")</f>
        <v>0.32</v>
      </c>
      <c r="L111" s="32">
        <f>IFERROR(SUMIFS('Cable Data'!$G:$G,'Cable Data'!$A:$A,B111,'Cable Data'!$B:$B,C111,'Cable Data'!$C:$C,D111,'Cable Data'!$D:$D,E111,'Cable Data'!$E:$E,F111),"")</f>
        <v>38.6</v>
      </c>
      <c r="M111" s="33"/>
      <c r="N111" s="67" t="s">
        <v>472</v>
      </c>
      <c r="O111" s="8"/>
      <c r="P111" s="8"/>
      <c r="Q111" s="8"/>
    </row>
    <row r="112" spans="1:17" x14ac:dyDescent="0.35">
      <c r="A112" s="31" t="s">
        <v>255</v>
      </c>
      <c r="B112" s="32" t="s">
        <v>282</v>
      </c>
      <c r="C112" s="32" t="s">
        <v>334</v>
      </c>
      <c r="D112" s="32" t="s">
        <v>255</v>
      </c>
      <c r="E112" s="32" t="s">
        <v>256</v>
      </c>
      <c r="F112" s="32">
        <v>240</v>
      </c>
      <c r="G112" s="32">
        <v>490</v>
      </c>
      <c r="H112" s="88">
        <v>9.6500000000000002E-2</v>
      </c>
      <c r="I112" s="89">
        <v>7.1999999999999995E-2</v>
      </c>
      <c r="J112" s="32">
        <v>143</v>
      </c>
      <c r="K112" s="32">
        <f>IFERROR(SUMIFS('Cable Data'!$J:$J,'Cable Data'!$A:$A,B112,'Cable Data'!$B:$B,C112,'Cable Data'!$C:$C,D112,'Cable Data'!$D:$D,E112,'Cable Data'!$E:$E,F112),"")</f>
        <v>0.24</v>
      </c>
      <c r="L112" s="32">
        <f>IFERROR(SUMIFS('Cable Data'!$G:$G,'Cable Data'!$A:$A,B112,'Cable Data'!$B:$B,C112,'Cable Data'!$C:$C,D112,'Cable Data'!$D:$D,E112,'Cable Data'!$E:$E,F112),"")</f>
        <v>46.5</v>
      </c>
      <c r="M112" s="33"/>
      <c r="N112" s="67" t="s">
        <v>472</v>
      </c>
      <c r="O112" s="8"/>
      <c r="P112" s="8"/>
      <c r="Q112" s="8"/>
    </row>
    <row r="113" spans="1:17" ht="29" customHeight="1" x14ac:dyDescent="0.35">
      <c r="A113" s="31" t="s">
        <v>255</v>
      </c>
      <c r="B113" s="32" t="s">
        <v>282</v>
      </c>
      <c r="C113" s="32" t="s">
        <v>334</v>
      </c>
      <c r="D113" s="32" t="s">
        <v>255</v>
      </c>
      <c r="E113" s="32" t="s">
        <v>260</v>
      </c>
      <c r="F113" s="32">
        <v>240</v>
      </c>
      <c r="G113" s="32">
        <v>490</v>
      </c>
      <c r="H113" s="88">
        <v>9.6500000000000002E-2</v>
      </c>
      <c r="I113" s="89">
        <v>7.1999999999999995E-2</v>
      </c>
      <c r="J113" s="32">
        <v>143</v>
      </c>
      <c r="K113" s="32">
        <f>IFERROR(SUMIFS('Cable Data'!$J:$J,'Cable Data'!$A:$A,B113,'Cable Data'!$B:$B,C113,'Cable Data'!$C:$C,D113,'Cable Data'!$D:$D,E113,'Cable Data'!$E:$E,F113),"")</f>
        <v>0.24</v>
      </c>
      <c r="L113" s="32">
        <f>IFERROR(SUMIFS('Cable Data'!$G:$G,'Cable Data'!$A:$A,B113,'Cable Data'!$B:$B,C113,'Cable Data'!$C:$C,D113,'Cable Data'!$D:$D,E113,'Cable Data'!$E:$E,F113),"")</f>
        <v>43.7</v>
      </c>
      <c r="M113" s="33"/>
      <c r="N113" s="67" t="s">
        <v>472</v>
      </c>
      <c r="O113" s="8"/>
      <c r="P113" s="8"/>
      <c r="Q113" s="8"/>
    </row>
    <row r="114" spans="1:17" x14ac:dyDescent="0.35">
      <c r="A114" s="31" t="s">
        <v>255</v>
      </c>
      <c r="B114" s="32" t="s">
        <v>282</v>
      </c>
      <c r="C114" s="32" t="s">
        <v>334</v>
      </c>
      <c r="D114" s="32" t="s">
        <v>255</v>
      </c>
      <c r="E114" s="32" t="s">
        <v>256</v>
      </c>
      <c r="F114" s="32">
        <v>300</v>
      </c>
      <c r="G114" s="32">
        <v>565</v>
      </c>
      <c r="H114" s="88">
        <v>7.6899999999999996E-2</v>
      </c>
      <c r="I114" s="89">
        <v>7.0999999999999994E-2</v>
      </c>
      <c r="J114" s="32">
        <v>143</v>
      </c>
      <c r="K114" s="32">
        <f>IFERROR(SUMIFS('Cable Data'!$J:$J,'Cable Data'!$A:$A,B114,'Cable Data'!$B:$B,C114,'Cable Data'!$C:$C,D114,'Cable Data'!$D:$D,E114,'Cable Data'!$E:$E,F114),"")</f>
        <v>0.20799999999999999</v>
      </c>
      <c r="L114" s="32">
        <f>IFERROR(SUMIFS('Cable Data'!$G:$G,'Cable Data'!$A:$A,B114,'Cable Data'!$B:$B,C114,'Cable Data'!$C:$C,D114,'Cable Data'!$D:$D,E114,'Cable Data'!$E:$E,F114),"")</f>
        <v>51.9</v>
      </c>
      <c r="M114" s="33"/>
      <c r="N114" s="67" t="s">
        <v>472</v>
      </c>
      <c r="O114" s="8"/>
      <c r="P114" s="8"/>
      <c r="Q114" s="8"/>
    </row>
    <row r="115" spans="1:17" ht="29" customHeight="1" x14ac:dyDescent="0.35">
      <c r="A115" s="31" t="s">
        <v>255</v>
      </c>
      <c r="B115" s="32" t="s">
        <v>282</v>
      </c>
      <c r="C115" s="32" t="s">
        <v>334</v>
      </c>
      <c r="D115" s="32" t="s">
        <v>255</v>
      </c>
      <c r="E115" s="32" t="s">
        <v>260</v>
      </c>
      <c r="F115" s="32">
        <v>300</v>
      </c>
      <c r="G115" s="32">
        <v>565</v>
      </c>
      <c r="H115" s="88">
        <v>7.6899999999999996E-2</v>
      </c>
      <c r="I115" s="89">
        <v>7.0999999999999994E-2</v>
      </c>
      <c r="J115" s="32">
        <v>143</v>
      </c>
      <c r="K115" s="32">
        <f>IFERROR(SUMIFS('Cable Data'!$J:$J,'Cable Data'!$A:$A,B115,'Cable Data'!$B:$B,C115,'Cable Data'!$C:$C,D115,'Cable Data'!$D:$D,E115,'Cable Data'!$E:$E,F115),"")</f>
        <v>0.20799999999999999</v>
      </c>
      <c r="L115" s="32">
        <f>IFERROR(SUMIFS('Cable Data'!$G:$G,'Cable Data'!$A:$A,B115,'Cable Data'!$B:$B,C115,'Cable Data'!$C:$C,D115,'Cable Data'!$D:$D,E115,'Cable Data'!$E:$E,F115),"")</f>
        <v>48.8</v>
      </c>
      <c r="M115" s="33"/>
      <c r="N115" s="67" t="s">
        <v>472</v>
      </c>
      <c r="O115" s="8"/>
      <c r="P115" s="8"/>
      <c r="Q115" s="8"/>
    </row>
    <row r="116" spans="1:17" x14ac:dyDescent="0.35">
      <c r="A116" s="31" t="s">
        <v>255</v>
      </c>
      <c r="B116" s="32" t="s">
        <v>282</v>
      </c>
      <c r="C116" s="32" t="s">
        <v>334</v>
      </c>
      <c r="D116" s="32" t="s">
        <v>255</v>
      </c>
      <c r="E116" s="32" t="s">
        <v>256</v>
      </c>
      <c r="F116" s="32">
        <v>400</v>
      </c>
      <c r="G116" s="32">
        <v>657.5</v>
      </c>
      <c r="H116" s="88">
        <v>6.0199999999999997E-2</v>
      </c>
      <c r="I116" s="89">
        <v>7.0000000000000007E-2</v>
      </c>
      <c r="J116" s="32">
        <v>143</v>
      </c>
      <c r="K116" s="32">
        <f>IFERROR(SUMIFS('Cable Data'!$J:$J,'Cable Data'!$A:$A,B116,'Cable Data'!$B:$B,C116,'Cable Data'!$C:$C,D116,'Cable Data'!$D:$D,E116,'Cable Data'!$E:$E,F116),"")</f>
        <v>0.16800000000000001</v>
      </c>
      <c r="L116" s="32">
        <f>IFERROR(SUMIFS('Cable Data'!$G:$G,'Cable Data'!$A:$A,B116,'Cable Data'!$B:$B,C116,'Cable Data'!$C:$C,D116,'Cable Data'!$D:$D,E116,'Cable Data'!$E:$E,F116),"")</f>
        <v>58.4</v>
      </c>
      <c r="M116" s="33"/>
      <c r="N116" s="67" t="s">
        <v>472</v>
      </c>
      <c r="O116" s="8"/>
      <c r="P116" s="8"/>
      <c r="Q116" s="8"/>
    </row>
    <row r="117" spans="1:17" ht="29" customHeight="1" x14ac:dyDescent="0.35">
      <c r="A117" s="31" t="s">
        <v>255</v>
      </c>
      <c r="B117" s="32" t="s">
        <v>282</v>
      </c>
      <c r="C117" s="32" t="s">
        <v>334</v>
      </c>
      <c r="D117" s="32" t="s">
        <v>255</v>
      </c>
      <c r="E117" s="32" t="s">
        <v>260</v>
      </c>
      <c r="F117" s="32">
        <v>400</v>
      </c>
      <c r="G117" s="32">
        <v>657.5</v>
      </c>
      <c r="H117" s="88">
        <v>6.0199999999999997E-2</v>
      </c>
      <c r="I117" s="89">
        <v>7.0000000000000007E-2</v>
      </c>
      <c r="J117" s="32">
        <v>143</v>
      </c>
      <c r="K117" s="32">
        <f>IFERROR(SUMIFS('Cable Data'!$J:$J,'Cable Data'!$A:$A,B117,'Cable Data'!$B:$B,C117,'Cable Data'!$C:$C,D117,'Cable Data'!$D:$D,E117,'Cable Data'!$E:$E,F117),"")</f>
        <v>0.16800000000000001</v>
      </c>
      <c r="L117" s="32">
        <f>IFERROR(SUMIFS('Cable Data'!$G:$G,'Cable Data'!$A:$A,B117,'Cable Data'!$B:$B,C117,'Cable Data'!$C:$C,D117,'Cable Data'!$D:$D,E117,'Cable Data'!$E:$E,F117),"")</f>
        <v>54.9</v>
      </c>
      <c r="M117" s="33"/>
      <c r="N117" s="67" t="s">
        <v>472</v>
      </c>
      <c r="O117" s="8"/>
      <c r="P117" s="8"/>
      <c r="Q117" s="8"/>
    </row>
    <row r="118" spans="1:17" x14ac:dyDescent="0.35">
      <c r="A118" s="31" t="s">
        <v>255</v>
      </c>
      <c r="B118" s="32" t="s">
        <v>308</v>
      </c>
      <c r="C118" s="32" t="s">
        <v>334</v>
      </c>
      <c r="D118" s="32" t="s">
        <v>255</v>
      </c>
      <c r="E118" s="32" t="s">
        <v>256</v>
      </c>
      <c r="F118" s="32">
        <v>16</v>
      </c>
      <c r="G118" s="32">
        <v>91.2</v>
      </c>
      <c r="H118" s="88">
        <v>1.47</v>
      </c>
      <c r="I118" s="89">
        <v>0.08</v>
      </c>
      <c r="J118" s="32">
        <v>143</v>
      </c>
      <c r="K118" s="32">
        <f>IFERROR(SUMIFS('Cable Data'!$J:$J,'Cable Data'!$A:$A,B118,'Cable Data'!$B:$B,C118,'Cable Data'!$C:$C,D118,'Cable Data'!$D:$D,E118,'Cable Data'!$E:$E,F118),"")</f>
        <v>3.6</v>
      </c>
      <c r="L118" s="32">
        <f>IFERROR(SUMIFS('Cable Data'!$G:$G,'Cable Data'!$A:$A,B118,'Cable Data'!$B:$B,C118,'Cable Data'!$C:$C,D118,'Cable Data'!$D:$D,E118,'Cable Data'!$E:$E,F118),"")</f>
        <v>16.8</v>
      </c>
      <c r="M118" s="33"/>
      <c r="N118" s="67" t="s">
        <v>472</v>
      </c>
      <c r="O118" s="8"/>
      <c r="P118" s="8"/>
      <c r="Q118" s="8"/>
    </row>
    <row r="119" spans="1:17" ht="29" customHeight="1" x14ac:dyDescent="0.35">
      <c r="A119" s="31" t="s">
        <v>255</v>
      </c>
      <c r="B119" s="32" t="s">
        <v>308</v>
      </c>
      <c r="C119" s="32" t="s">
        <v>334</v>
      </c>
      <c r="D119" s="32" t="s">
        <v>255</v>
      </c>
      <c r="E119" s="32" t="s">
        <v>260</v>
      </c>
      <c r="F119" s="32">
        <v>16</v>
      </c>
      <c r="G119" s="32">
        <v>91.2</v>
      </c>
      <c r="H119" s="88">
        <v>1.47</v>
      </c>
      <c r="I119" s="89">
        <v>0.08</v>
      </c>
      <c r="J119" s="32">
        <v>143</v>
      </c>
      <c r="K119" s="32">
        <f>IFERROR(SUMIFS('Cable Data'!$J:$J,'Cable Data'!$A:$A,B119,'Cable Data'!$B:$B,C119,'Cable Data'!$C:$C,D119,'Cable Data'!$D:$D,E119,'Cable Data'!$E:$E,F119),"")</f>
        <v>3.6</v>
      </c>
      <c r="L119" s="32">
        <f>IFERROR(SUMIFS('Cable Data'!$G:$G,'Cable Data'!$A:$A,B119,'Cable Data'!$B:$B,C119,'Cable Data'!$C:$C,D119,'Cable Data'!$D:$D,E119,'Cable Data'!$E:$E,F119),"")</f>
        <v>15.8</v>
      </c>
      <c r="M119" s="33"/>
      <c r="N119" s="67" t="s">
        <v>472</v>
      </c>
      <c r="O119" s="8"/>
      <c r="P119" s="8"/>
      <c r="Q119" s="8"/>
    </row>
    <row r="120" spans="1:17" x14ac:dyDescent="0.35">
      <c r="A120" s="31" t="s">
        <v>255</v>
      </c>
      <c r="B120" s="32" t="s">
        <v>308</v>
      </c>
      <c r="C120" s="32" t="s">
        <v>334</v>
      </c>
      <c r="D120" s="32" t="s">
        <v>255</v>
      </c>
      <c r="E120" s="32" t="s">
        <v>256</v>
      </c>
      <c r="F120" s="32">
        <v>25</v>
      </c>
      <c r="G120" s="32">
        <v>118.8</v>
      </c>
      <c r="H120" s="88">
        <v>0.93</v>
      </c>
      <c r="I120" s="89">
        <v>0.08</v>
      </c>
      <c r="J120" s="32">
        <v>143</v>
      </c>
      <c r="K120" s="32">
        <f>IFERROR(SUMIFS('Cable Data'!$J:$J,'Cable Data'!$A:$A,B120,'Cable Data'!$B:$B,C120,'Cable Data'!$C:$C,D120,'Cable Data'!$D:$D,E120,'Cable Data'!$E:$E,F120),"")</f>
        <v>2.2400000000000002</v>
      </c>
      <c r="L120" s="32">
        <f>IFERROR(SUMIFS('Cable Data'!$G:$G,'Cable Data'!$A:$A,B120,'Cable Data'!$B:$B,C120,'Cable Data'!$C:$C,D120,'Cable Data'!$D:$D,E120,'Cable Data'!$E:$E,F120),"")</f>
        <v>19.600000000000001</v>
      </c>
      <c r="M120" s="33"/>
      <c r="N120" s="67" t="s">
        <v>472</v>
      </c>
      <c r="O120" s="8"/>
      <c r="P120" s="8"/>
      <c r="Q120" s="8"/>
    </row>
    <row r="121" spans="1:17" ht="29" customHeight="1" x14ac:dyDescent="0.35">
      <c r="A121" s="31" t="s">
        <v>255</v>
      </c>
      <c r="B121" s="32" t="s">
        <v>308</v>
      </c>
      <c r="C121" s="32" t="s">
        <v>334</v>
      </c>
      <c r="D121" s="32" t="s">
        <v>255</v>
      </c>
      <c r="E121" s="32" t="s">
        <v>260</v>
      </c>
      <c r="F121" s="32">
        <v>25</v>
      </c>
      <c r="G121" s="32">
        <v>118.8</v>
      </c>
      <c r="H121" s="88">
        <v>0.93</v>
      </c>
      <c r="I121" s="89">
        <v>0.08</v>
      </c>
      <c r="J121" s="32">
        <v>143</v>
      </c>
      <c r="K121" s="32">
        <f>IFERROR(SUMIFS('Cable Data'!$J:$J,'Cable Data'!$A:$A,B121,'Cable Data'!$B:$B,C121,'Cable Data'!$C:$C,D121,'Cable Data'!$D:$D,E121,'Cable Data'!$E:$E,F121),"")</f>
        <v>2.2400000000000002</v>
      </c>
      <c r="L121" s="32">
        <f>IFERROR(SUMIFS('Cable Data'!$G:$G,'Cable Data'!$A:$A,B121,'Cable Data'!$B:$B,C121,'Cable Data'!$C:$C,D121,'Cable Data'!$D:$D,E121,'Cable Data'!$E:$E,F121),"")</f>
        <v>18.5</v>
      </c>
      <c r="M121" s="33"/>
      <c r="N121" s="67" t="s">
        <v>472</v>
      </c>
      <c r="O121" s="8"/>
      <c r="P121" s="8"/>
      <c r="Q121" s="8"/>
    </row>
    <row r="122" spans="1:17" x14ac:dyDescent="0.35">
      <c r="A122" s="31" t="s">
        <v>255</v>
      </c>
      <c r="B122" s="32" t="s">
        <v>308</v>
      </c>
      <c r="C122" s="32" t="s">
        <v>334</v>
      </c>
      <c r="D122" s="32" t="s">
        <v>255</v>
      </c>
      <c r="E122" s="32" t="s">
        <v>256</v>
      </c>
      <c r="F122" s="32">
        <v>35</v>
      </c>
      <c r="G122" s="32">
        <v>143.80000000000001</v>
      </c>
      <c r="H122" s="88">
        <v>0.67100000000000004</v>
      </c>
      <c r="I122" s="89">
        <v>0.08</v>
      </c>
      <c r="J122" s="32">
        <v>143</v>
      </c>
      <c r="K122" s="32">
        <f>IFERROR(SUMIFS('Cable Data'!$J:$J,'Cable Data'!$A:$A,B122,'Cable Data'!$B:$B,C122,'Cable Data'!$C:$C,D122,'Cable Data'!$D:$D,E122,'Cable Data'!$E:$E,F122),"")</f>
        <v>1.6</v>
      </c>
      <c r="L122" s="32">
        <f>IFERROR(SUMIFS('Cable Data'!$G:$G,'Cable Data'!$A:$A,B122,'Cable Data'!$B:$B,C122,'Cable Data'!$C:$C,D122,'Cable Data'!$D:$D,E122,'Cable Data'!$E:$E,F122),"")</f>
        <v>21.3</v>
      </c>
      <c r="M122" s="33"/>
      <c r="N122" s="67" t="s">
        <v>472</v>
      </c>
      <c r="O122" s="8"/>
      <c r="P122" s="8"/>
      <c r="Q122" s="8"/>
    </row>
    <row r="123" spans="1:17" ht="29" customHeight="1" x14ac:dyDescent="0.35">
      <c r="A123" s="31" t="s">
        <v>255</v>
      </c>
      <c r="B123" s="32" t="s">
        <v>308</v>
      </c>
      <c r="C123" s="32" t="s">
        <v>334</v>
      </c>
      <c r="D123" s="32" t="s">
        <v>255</v>
      </c>
      <c r="E123" s="32" t="s">
        <v>260</v>
      </c>
      <c r="F123" s="32">
        <v>35</v>
      </c>
      <c r="G123" s="32">
        <v>143.80000000000001</v>
      </c>
      <c r="H123" s="88">
        <v>0.67100000000000004</v>
      </c>
      <c r="I123" s="89">
        <v>0.08</v>
      </c>
      <c r="J123" s="32">
        <v>143</v>
      </c>
      <c r="K123" s="32">
        <f>IFERROR(SUMIFS('Cable Data'!$J:$J,'Cable Data'!$A:$A,B123,'Cable Data'!$B:$B,C123,'Cable Data'!$C:$C,D123,'Cable Data'!$D:$D,E123,'Cable Data'!$E:$E,F123),"")</f>
        <v>1.6</v>
      </c>
      <c r="L123" s="32">
        <f>IFERROR(SUMIFS('Cable Data'!$G:$G,'Cable Data'!$A:$A,B123,'Cable Data'!$B:$B,C123,'Cable Data'!$C:$C,D123,'Cable Data'!$D:$D,E123,'Cable Data'!$E:$E,F123),"")</f>
        <v>20</v>
      </c>
      <c r="M123" s="33"/>
      <c r="N123" s="67" t="s">
        <v>472</v>
      </c>
      <c r="O123" s="8"/>
      <c r="P123" s="8"/>
      <c r="Q123" s="8"/>
    </row>
    <row r="124" spans="1:17" x14ac:dyDescent="0.35">
      <c r="A124" s="31" t="s">
        <v>255</v>
      </c>
      <c r="B124" s="32" t="s">
        <v>308</v>
      </c>
      <c r="C124" s="32" t="s">
        <v>334</v>
      </c>
      <c r="D124" s="32" t="s">
        <v>255</v>
      </c>
      <c r="E124" s="32" t="s">
        <v>256</v>
      </c>
      <c r="F124" s="32">
        <v>50</v>
      </c>
      <c r="G124" s="32">
        <v>171.2</v>
      </c>
      <c r="H124" s="88">
        <v>0.495</v>
      </c>
      <c r="I124" s="89">
        <v>7.8E-2</v>
      </c>
      <c r="J124" s="32">
        <v>143</v>
      </c>
      <c r="K124" s="32">
        <f>IFERROR(SUMIFS('Cable Data'!$J:$J,'Cable Data'!$A:$A,B124,'Cable Data'!$B:$B,C124,'Cable Data'!$C:$C,D124,'Cable Data'!$D:$D,E124,'Cable Data'!$E:$E,F124),"")</f>
        <v>1.2</v>
      </c>
      <c r="L124" s="32">
        <f>IFERROR(SUMIFS('Cable Data'!$G:$G,'Cable Data'!$A:$A,B124,'Cable Data'!$B:$B,C124,'Cable Data'!$C:$C,D124,'Cable Data'!$D:$D,E124,'Cable Data'!$E:$E,F124),"")</f>
        <v>24.7</v>
      </c>
      <c r="M124" s="33"/>
      <c r="N124" s="67" t="s">
        <v>472</v>
      </c>
      <c r="O124" s="8"/>
      <c r="P124" s="8"/>
      <c r="Q124" s="8"/>
    </row>
    <row r="125" spans="1:17" ht="29" customHeight="1" x14ac:dyDescent="0.35">
      <c r="A125" s="31" t="s">
        <v>255</v>
      </c>
      <c r="B125" s="32" t="s">
        <v>308</v>
      </c>
      <c r="C125" s="32" t="s">
        <v>334</v>
      </c>
      <c r="D125" s="32" t="s">
        <v>255</v>
      </c>
      <c r="E125" s="32" t="s">
        <v>260</v>
      </c>
      <c r="F125" s="32">
        <v>50</v>
      </c>
      <c r="G125" s="32">
        <v>171.2</v>
      </c>
      <c r="H125" s="88">
        <v>0.495</v>
      </c>
      <c r="I125" s="89">
        <v>7.8E-2</v>
      </c>
      <c r="J125" s="32">
        <v>143</v>
      </c>
      <c r="K125" s="32">
        <f>IFERROR(SUMIFS('Cable Data'!$J:$J,'Cable Data'!$A:$A,B125,'Cable Data'!$B:$B,C125,'Cable Data'!$C:$C,D125,'Cable Data'!$D:$D,E125,'Cable Data'!$E:$E,F125),"")</f>
        <v>1.2</v>
      </c>
      <c r="L125" s="32">
        <f>IFERROR(SUMIFS('Cable Data'!$G:$G,'Cable Data'!$A:$A,B125,'Cable Data'!$B:$B,C125,'Cable Data'!$C:$C,D125,'Cable Data'!$D:$D,E125,'Cable Data'!$E:$E,F125),"")</f>
        <v>23.2</v>
      </c>
      <c r="M125" s="33"/>
      <c r="N125" s="67" t="s">
        <v>472</v>
      </c>
      <c r="O125" s="8"/>
      <c r="P125" s="8"/>
      <c r="Q125" s="8"/>
    </row>
    <row r="126" spans="1:17" x14ac:dyDescent="0.35">
      <c r="A126" s="31" t="s">
        <v>255</v>
      </c>
      <c r="B126" s="32" t="s">
        <v>308</v>
      </c>
      <c r="C126" s="32" t="s">
        <v>334</v>
      </c>
      <c r="D126" s="32" t="s">
        <v>255</v>
      </c>
      <c r="E126" s="32" t="s">
        <v>256</v>
      </c>
      <c r="F126" s="32">
        <v>70</v>
      </c>
      <c r="G126" s="32">
        <v>216.2</v>
      </c>
      <c r="H126" s="88">
        <v>0.34300000000000003</v>
      </c>
      <c r="I126" s="89">
        <v>7.6999999999999999E-2</v>
      </c>
      <c r="J126" s="32">
        <v>143</v>
      </c>
      <c r="K126" s="32">
        <f>IFERROR(SUMIFS('Cable Data'!$J:$J,'Cable Data'!$A:$A,B126,'Cable Data'!$B:$B,C126,'Cable Data'!$C:$C,D126,'Cable Data'!$D:$D,E126,'Cable Data'!$E:$E,F126),"")</f>
        <v>0.84</v>
      </c>
      <c r="L126" s="32">
        <f>IFERROR(SUMIFS('Cable Data'!$G:$G,'Cable Data'!$A:$A,B126,'Cable Data'!$B:$B,C126,'Cable Data'!$C:$C,D126,'Cable Data'!$D:$D,E126,'Cable Data'!$E:$E,F126),"")</f>
        <v>28.1</v>
      </c>
      <c r="M126" s="33"/>
      <c r="N126" s="67" t="s">
        <v>472</v>
      </c>
      <c r="O126" s="8"/>
      <c r="P126" s="8"/>
      <c r="Q126" s="8"/>
    </row>
    <row r="127" spans="1:17" ht="29" customHeight="1" x14ac:dyDescent="0.35">
      <c r="A127" s="31" t="s">
        <v>255</v>
      </c>
      <c r="B127" s="32" t="s">
        <v>308</v>
      </c>
      <c r="C127" s="32" t="s">
        <v>334</v>
      </c>
      <c r="D127" s="32" t="s">
        <v>255</v>
      </c>
      <c r="E127" s="32" t="s">
        <v>260</v>
      </c>
      <c r="F127" s="32">
        <v>70</v>
      </c>
      <c r="G127" s="32">
        <v>216.2</v>
      </c>
      <c r="H127" s="88">
        <v>0.34300000000000003</v>
      </c>
      <c r="I127" s="89">
        <v>7.6999999999999999E-2</v>
      </c>
      <c r="J127" s="32">
        <v>143</v>
      </c>
      <c r="K127" s="32">
        <f>IFERROR(SUMIFS('Cable Data'!$J:$J,'Cable Data'!$A:$A,B127,'Cable Data'!$B:$B,C127,'Cable Data'!$C:$C,D127,'Cable Data'!$D:$D,E127,'Cable Data'!$E:$E,F127),"")</f>
        <v>0.84</v>
      </c>
      <c r="L127" s="32">
        <f>IFERROR(SUMIFS('Cable Data'!$G:$G,'Cable Data'!$A:$A,B127,'Cable Data'!$B:$B,C127,'Cable Data'!$C:$C,D127,'Cable Data'!$D:$D,E127,'Cable Data'!$E:$E,F127),"")</f>
        <v>26.4</v>
      </c>
      <c r="M127" s="33"/>
      <c r="N127" s="67" t="s">
        <v>472</v>
      </c>
      <c r="O127" s="8"/>
      <c r="P127" s="8"/>
      <c r="Q127" s="8"/>
    </row>
    <row r="128" spans="1:17" x14ac:dyDescent="0.35">
      <c r="A128" s="31" t="s">
        <v>255</v>
      </c>
      <c r="B128" s="32" t="s">
        <v>308</v>
      </c>
      <c r="C128" s="32" t="s">
        <v>334</v>
      </c>
      <c r="D128" s="32" t="s">
        <v>255</v>
      </c>
      <c r="E128" s="32" t="s">
        <v>256</v>
      </c>
      <c r="F128" s="32">
        <v>95</v>
      </c>
      <c r="G128" s="32">
        <v>267.5</v>
      </c>
      <c r="H128" s="88">
        <v>0.247</v>
      </c>
      <c r="I128" s="89">
        <v>7.3999999999999996E-2</v>
      </c>
      <c r="J128" s="32">
        <v>143</v>
      </c>
      <c r="K128" s="32">
        <f>IFERROR(SUMIFS('Cable Data'!$J:$J,'Cable Data'!$A:$A,B128,'Cable Data'!$B:$B,C128,'Cable Data'!$C:$C,D128,'Cable Data'!$D:$D,E128,'Cable Data'!$E:$E,F128),"")</f>
        <v>0.57599999999999996</v>
      </c>
      <c r="L128" s="32">
        <f>IFERROR(SUMIFS('Cable Data'!$G:$G,'Cable Data'!$A:$A,B128,'Cable Data'!$B:$B,C128,'Cable Data'!$C:$C,D128,'Cable Data'!$D:$D,E128,'Cable Data'!$E:$E,F128),"")</f>
        <v>31.4</v>
      </c>
      <c r="M128" s="33"/>
      <c r="N128" s="67" t="s">
        <v>472</v>
      </c>
      <c r="O128" s="8"/>
      <c r="P128" s="8"/>
      <c r="Q128" s="8"/>
    </row>
    <row r="129" spans="1:17" ht="29" customHeight="1" x14ac:dyDescent="0.35">
      <c r="A129" s="31" t="s">
        <v>255</v>
      </c>
      <c r="B129" s="32" t="s">
        <v>308</v>
      </c>
      <c r="C129" s="32" t="s">
        <v>334</v>
      </c>
      <c r="D129" s="32" t="s">
        <v>255</v>
      </c>
      <c r="E129" s="32" t="s">
        <v>260</v>
      </c>
      <c r="F129" s="32">
        <v>95</v>
      </c>
      <c r="G129" s="32">
        <v>267.5</v>
      </c>
      <c r="H129" s="88">
        <v>0.247</v>
      </c>
      <c r="I129" s="89">
        <v>7.3999999999999996E-2</v>
      </c>
      <c r="J129" s="32">
        <v>143</v>
      </c>
      <c r="K129" s="32">
        <f>IFERROR(SUMIFS('Cable Data'!$J:$J,'Cable Data'!$A:$A,B129,'Cable Data'!$B:$B,C129,'Cable Data'!$C:$C,D129,'Cable Data'!$D:$D,E129,'Cable Data'!$E:$E,F129),"")</f>
        <v>0.57599999999999996</v>
      </c>
      <c r="L129" s="32">
        <f>IFERROR(SUMIFS('Cable Data'!$G:$G,'Cable Data'!$A:$A,B129,'Cable Data'!$B:$B,C129,'Cable Data'!$C:$C,D129,'Cable Data'!$D:$D,E129,'Cable Data'!$E:$E,F129),"")</f>
        <v>29.5</v>
      </c>
      <c r="M129" s="33"/>
      <c r="N129" s="67" t="s">
        <v>472</v>
      </c>
      <c r="O129" s="8"/>
      <c r="P129" s="8"/>
      <c r="Q129" s="8"/>
    </row>
    <row r="130" spans="1:17" x14ac:dyDescent="0.35">
      <c r="A130" s="31" t="s">
        <v>255</v>
      </c>
      <c r="B130" s="32" t="s">
        <v>308</v>
      </c>
      <c r="C130" s="32" t="s">
        <v>334</v>
      </c>
      <c r="D130" s="32" t="s">
        <v>255</v>
      </c>
      <c r="E130" s="32" t="s">
        <v>256</v>
      </c>
      <c r="F130" s="32">
        <v>120</v>
      </c>
      <c r="G130" s="32">
        <v>308.8</v>
      </c>
      <c r="H130" s="88">
        <v>0.19600000000000001</v>
      </c>
      <c r="I130" s="89">
        <v>7.1999999999999995E-2</v>
      </c>
      <c r="J130" s="32">
        <v>143</v>
      </c>
      <c r="K130" s="32">
        <f>IFERROR(SUMIFS('Cable Data'!$J:$J,'Cable Data'!$A:$A,B130,'Cable Data'!$B:$B,C130,'Cable Data'!$C:$C,D130,'Cable Data'!$D:$D,E130,'Cable Data'!$E:$E,F130),"")</f>
        <v>0.45600000000000002</v>
      </c>
      <c r="L130" s="32">
        <f>IFERROR(SUMIFS('Cable Data'!$G:$G,'Cable Data'!$A:$A,B130,'Cable Data'!$B:$B,C130,'Cable Data'!$C:$C,D130,'Cable Data'!$D:$D,E130,'Cable Data'!$E:$E,F130),"")</f>
        <v>34.799999999999997</v>
      </c>
      <c r="M130" s="33"/>
      <c r="N130" s="67" t="s">
        <v>472</v>
      </c>
      <c r="O130" s="8"/>
      <c r="P130" s="8"/>
      <c r="Q130" s="8"/>
    </row>
    <row r="131" spans="1:17" ht="29" customHeight="1" x14ac:dyDescent="0.35">
      <c r="A131" s="31" t="s">
        <v>255</v>
      </c>
      <c r="B131" s="32" t="s">
        <v>308</v>
      </c>
      <c r="C131" s="32" t="s">
        <v>334</v>
      </c>
      <c r="D131" s="32" t="s">
        <v>255</v>
      </c>
      <c r="E131" s="32" t="s">
        <v>260</v>
      </c>
      <c r="F131" s="32">
        <v>120</v>
      </c>
      <c r="G131" s="32">
        <v>308.8</v>
      </c>
      <c r="H131" s="88">
        <v>0.19600000000000001</v>
      </c>
      <c r="I131" s="89">
        <v>7.1999999999999995E-2</v>
      </c>
      <c r="J131" s="32">
        <v>143</v>
      </c>
      <c r="K131" s="32">
        <f>IFERROR(SUMIFS('Cable Data'!$J:$J,'Cable Data'!$A:$A,B131,'Cable Data'!$B:$B,C131,'Cable Data'!$C:$C,D131,'Cable Data'!$D:$D,E131,'Cable Data'!$E:$E,F131),"")</f>
        <v>0.45600000000000002</v>
      </c>
      <c r="L131" s="32">
        <f>IFERROR(SUMIFS('Cable Data'!$G:$G,'Cable Data'!$A:$A,B131,'Cable Data'!$B:$B,C131,'Cable Data'!$C:$C,D131,'Cable Data'!$D:$D,E131,'Cable Data'!$E:$E,F131),"")</f>
        <v>32.700000000000003</v>
      </c>
      <c r="M131" s="33"/>
      <c r="N131" s="67" t="s">
        <v>472</v>
      </c>
      <c r="O131" s="8"/>
      <c r="P131" s="8"/>
      <c r="Q131" s="8"/>
    </row>
    <row r="132" spans="1:17" x14ac:dyDescent="0.35">
      <c r="A132" s="31" t="s">
        <v>255</v>
      </c>
      <c r="B132" s="32" t="s">
        <v>308</v>
      </c>
      <c r="C132" s="32" t="s">
        <v>334</v>
      </c>
      <c r="D132" s="32" t="s">
        <v>255</v>
      </c>
      <c r="E132" s="32" t="s">
        <v>256</v>
      </c>
      <c r="F132" s="32">
        <v>150</v>
      </c>
      <c r="G132" s="32">
        <v>350</v>
      </c>
      <c r="H132" s="88">
        <v>0.159</v>
      </c>
      <c r="I132" s="89">
        <v>7.1999999999999995E-2</v>
      </c>
      <c r="J132" s="32">
        <v>143</v>
      </c>
      <c r="K132" s="32">
        <f>IFERROR(SUMIFS('Cable Data'!$J:$J,'Cable Data'!$A:$A,B132,'Cable Data'!$B:$B,C132,'Cable Data'!$C:$C,D132,'Cable Data'!$D:$D,E132,'Cable Data'!$E:$E,F132),"")</f>
        <v>0.39200000000000002</v>
      </c>
      <c r="L132" s="32">
        <f>IFERROR(SUMIFS('Cable Data'!$G:$G,'Cable Data'!$A:$A,B132,'Cable Data'!$B:$B,C132,'Cable Data'!$C:$C,D132,'Cable Data'!$D:$D,E132,'Cable Data'!$E:$E,F132),"")</f>
        <v>38.1</v>
      </c>
      <c r="M132" s="33"/>
      <c r="N132" s="67" t="s">
        <v>472</v>
      </c>
      <c r="O132" s="8"/>
      <c r="P132" s="8"/>
      <c r="Q132" s="8"/>
    </row>
    <row r="133" spans="1:17" ht="29" customHeight="1" x14ac:dyDescent="0.35">
      <c r="A133" s="31" t="s">
        <v>255</v>
      </c>
      <c r="B133" s="32" t="s">
        <v>308</v>
      </c>
      <c r="C133" s="32" t="s">
        <v>334</v>
      </c>
      <c r="D133" s="32" t="s">
        <v>255</v>
      </c>
      <c r="E133" s="32" t="s">
        <v>260</v>
      </c>
      <c r="F133" s="32">
        <v>150</v>
      </c>
      <c r="G133" s="32">
        <v>350</v>
      </c>
      <c r="H133" s="88">
        <v>0.159</v>
      </c>
      <c r="I133" s="89">
        <v>7.1999999999999995E-2</v>
      </c>
      <c r="J133" s="32">
        <v>143</v>
      </c>
      <c r="K133" s="32">
        <f>IFERROR(SUMIFS('Cable Data'!$J:$J,'Cable Data'!$A:$A,B133,'Cable Data'!$B:$B,C133,'Cable Data'!$C:$C,D133,'Cable Data'!$D:$D,E133,'Cable Data'!$E:$E,F133),"")</f>
        <v>0.39200000000000002</v>
      </c>
      <c r="L133" s="32">
        <f>IFERROR(SUMIFS('Cable Data'!$G:$G,'Cable Data'!$A:$A,B133,'Cable Data'!$B:$B,C133,'Cable Data'!$C:$C,D133,'Cable Data'!$D:$D,E133,'Cable Data'!$E:$E,F133),"")</f>
        <v>35.9</v>
      </c>
      <c r="M133" s="33"/>
      <c r="N133" s="67" t="s">
        <v>472</v>
      </c>
      <c r="O133" s="8"/>
      <c r="P133" s="8"/>
      <c r="Q133" s="8"/>
    </row>
    <row r="134" spans="1:17" x14ac:dyDescent="0.35">
      <c r="A134" s="31" t="s">
        <v>255</v>
      </c>
      <c r="B134" s="32" t="s">
        <v>308</v>
      </c>
      <c r="C134" s="32" t="s">
        <v>334</v>
      </c>
      <c r="D134" s="32" t="s">
        <v>255</v>
      </c>
      <c r="E134" s="32" t="s">
        <v>256</v>
      </c>
      <c r="F134" s="32">
        <v>185</v>
      </c>
      <c r="G134" s="32">
        <v>406.2</v>
      </c>
      <c r="H134" s="88">
        <v>0.127</v>
      </c>
      <c r="I134" s="89">
        <v>7.1999999999999995E-2</v>
      </c>
      <c r="J134" s="32">
        <v>143</v>
      </c>
      <c r="K134" s="32">
        <f>IFERROR(SUMIFS('Cable Data'!$J:$J,'Cable Data'!$A:$A,B134,'Cable Data'!$B:$B,C134,'Cable Data'!$C:$C,D134,'Cable Data'!$D:$D,E134,'Cable Data'!$E:$E,F134),"")</f>
        <v>0.32800000000000001</v>
      </c>
      <c r="L134" s="32">
        <f>IFERROR(SUMIFS('Cable Data'!$G:$G,'Cable Data'!$A:$A,B134,'Cable Data'!$B:$B,C134,'Cable Data'!$C:$C,D134,'Cable Data'!$D:$D,E134,'Cable Data'!$E:$E,F134),"")</f>
        <v>42.6</v>
      </c>
      <c r="M134" s="33"/>
      <c r="N134" s="67" t="s">
        <v>472</v>
      </c>
      <c r="O134" s="8"/>
      <c r="P134" s="8"/>
      <c r="Q134" s="8"/>
    </row>
    <row r="135" spans="1:17" ht="29" customHeight="1" x14ac:dyDescent="0.35">
      <c r="A135" s="31" t="s">
        <v>255</v>
      </c>
      <c r="B135" s="32" t="s">
        <v>308</v>
      </c>
      <c r="C135" s="32" t="s">
        <v>334</v>
      </c>
      <c r="D135" s="32" t="s">
        <v>255</v>
      </c>
      <c r="E135" s="32" t="s">
        <v>260</v>
      </c>
      <c r="F135" s="32">
        <v>185</v>
      </c>
      <c r="G135" s="32">
        <v>406.2</v>
      </c>
      <c r="H135" s="88">
        <v>0.127</v>
      </c>
      <c r="I135" s="89">
        <v>7.1999999999999995E-2</v>
      </c>
      <c r="J135" s="32">
        <v>143</v>
      </c>
      <c r="K135" s="32">
        <f>IFERROR(SUMIFS('Cable Data'!$J:$J,'Cable Data'!$A:$A,B135,'Cable Data'!$B:$B,C135,'Cable Data'!$C:$C,D135,'Cable Data'!$D:$D,E135,'Cable Data'!$E:$E,F135),"")</f>
        <v>0.32800000000000001</v>
      </c>
      <c r="L135" s="32">
        <f>IFERROR(SUMIFS('Cable Data'!$G:$G,'Cable Data'!$A:$A,B135,'Cable Data'!$B:$B,C135,'Cable Data'!$C:$C,D135,'Cable Data'!$D:$D,E135,'Cable Data'!$E:$E,F135),"")</f>
        <v>40.1</v>
      </c>
      <c r="M135" s="33"/>
      <c r="N135" s="67" t="s">
        <v>472</v>
      </c>
      <c r="O135" s="8"/>
      <c r="P135" s="8"/>
      <c r="Q135" s="8"/>
    </row>
    <row r="136" spans="1:17" x14ac:dyDescent="0.35">
      <c r="A136" s="31" t="s">
        <v>255</v>
      </c>
      <c r="B136" s="32" t="s">
        <v>308</v>
      </c>
      <c r="C136" s="32" t="s">
        <v>334</v>
      </c>
      <c r="D136" s="32" t="s">
        <v>255</v>
      </c>
      <c r="E136" s="32" t="s">
        <v>256</v>
      </c>
      <c r="F136" s="32">
        <v>240</v>
      </c>
      <c r="G136" s="32">
        <v>485</v>
      </c>
      <c r="H136" s="88">
        <v>9.6500000000000002E-2</v>
      </c>
      <c r="I136" s="89">
        <v>7.1999999999999995E-2</v>
      </c>
      <c r="J136" s="32">
        <v>143</v>
      </c>
      <c r="K136" s="32">
        <f>IFERROR(SUMIFS('Cable Data'!$J:$J,'Cable Data'!$A:$A,B136,'Cable Data'!$B:$B,C136,'Cable Data'!$C:$C,D136,'Cable Data'!$D:$D,E136,'Cable Data'!$E:$E,F136),"")</f>
        <v>0.248</v>
      </c>
      <c r="L136" s="32">
        <f>IFERROR(SUMIFS('Cable Data'!$G:$G,'Cable Data'!$A:$A,B136,'Cable Data'!$B:$B,C136,'Cable Data'!$C:$C,D136,'Cable Data'!$D:$D,E136,'Cable Data'!$E:$E,F136),"")</f>
        <v>48.2</v>
      </c>
      <c r="M136" s="33"/>
      <c r="N136" s="67" t="s">
        <v>472</v>
      </c>
      <c r="O136" s="8"/>
      <c r="P136" s="8"/>
      <c r="Q136" s="8"/>
    </row>
    <row r="137" spans="1:17" ht="29" customHeight="1" x14ac:dyDescent="0.35">
      <c r="A137" s="31" t="s">
        <v>255</v>
      </c>
      <c r="B137" s="32" t="s">
        <v>308</v>
      </c>
      <c r="C137" s="32" t="s">
        <v>334</v>
      </c>
      <c r="D137" s="32" t="s">
        <v>255</v>
      </c>
      <c r="E137" s="32" t="s">
        <v>260</v>
      </c>
      <c r="F137" s="32">
        <v>240</v>
      </c>
      <c r="G137" s="32">
        <v>485</v>
      </c>
      <c r="H137" s="88">
        <v>9.6500000000000002E-2</v>
      </c>
      <c r="I137" s="89">
        <v>7.1999999999999995E-2</v>
      </c>
      <c r="J137" s="32">
        <v>143</v>
      </c>
      <c r="K137" s="32">
        <f>IFERROR(SUMIFS('Cable Data'!$J:$J,'Cable Data'!$A:$A,B137,'Cable Data'!$B:$B,C137,'Cable Data'!$C:$C,D137,'Cable Data'!$D:$D,E137,'Cable Data'!$E:$E,F137),"")</f>
        <v>0.248</v>
      </c>
      <c r="L137" s="32">
        <f>IFERROR(SUMIFS('Cable Data'!$G:$G,'Cable Data'!$A:$A,B137,'Cable Data'!$B:$B,C137,'Cable Data'!$C:$C,D137,'Cable Data'!$D:$D,E137,'Cable Data'!$E:$E,F137),"")</f>
        <v>45.4</v>
      </c>
      <c r="M137" s="33"/>
      <c r="N137" s="67" t="s">
        <v>472</v>
      </c>
      <c r="O137" s="8"/>
      <c r="P137" s="8"/>
      <c r="Q137" s="8"/>
    </row>
    <row r="138" spans="1:17" x14ac:dyDescent="0.35">
      <c r="A138" s="31" t="s">
        <v>255</v>
      </c>
      <c r="B138" s="32" t="s">
        <v>308</v>
      </c>
      <c r="C138" s="32" t="s">
        <v>334</v>
      </c>
      <c r="D138" s="32" t="s">
        <v>255</v>
      </c>
      <c r="E138" s="32" t="s">
        <v>256</v>
      </c>
      <c r="F138" s="32">
        <v>300</v>
      </c>
      <c r="G138" s="32">
        <v>558.79999999999995</v>
      </c>
      <c r="H138" s="88">
        <v>7.6899999999999996E-2</v>
      </c>
      <c r="I138" s="89">
        <v>7.0999999999999994E-2</v>
      </c>
      <c r="J138" s="32">
        <v>143</v>
      </c>
      <c r="K138" s="32">
        <f>IFERROR(SUMIFS('Cable Data'!$J:$J,'Cable Data'!$A:$A,B138,'Cable Data'!$B:$B,C138,'Cable Data'!$C:$C,D138,'Cable Data'!$D:$D,E138,'Cable Data'!$E:$E,F138),"")</f>
        <v>0.216</v>
      </c>
      <c r="L138" s="32">
        <f>IFERROR(SUMIFS('Cable Data'!$G:$G,'Cable Data'!$A:$A,B138,'Cable Data'!$B:$B,C138,'Cable Data'!$C:$C,D138,'Cable Data'!$D:$D,E138,'Cable Data'!$E:$E,F138),"")</f>
        <v>53.9</v>
      </c>
      <c r="M138" s="33"/>
      <c r="N138" s="67" t="s">
        <v>472</v>
      </c>
      <c r="O138" s="8"/>
      <c r="P138" s="8"/>
      <c r="Q138" s="8"/>
    </row>
    <row r="139" spans="1:17" ht="29" customHeight="1" x14ac:dyDescent="0.35">
      <c r="A139" s="31" t="s">
        <v>255</v>
      </c>
      <c r="B139" s="32" t="s">
        <v>308</v>
      </c>
      <c r="C139" s="32" t="s">
        <v>334</v>
      </c>
      <c r="D139" s="32" t="s">
        <v>255</v>
      </c>
      <c r="E139" s="32" t="s">
        <v>260</v>
      </c>
      <c r="F139" s="32">
        <v>300</v>
      </c>
      <c r="G139" s="32">
        <v>558.79999999999995</v>
      </c>
      <c r="H139" s="88">
        <v>7.6899999999999996E-2</v>
      </c>
      <c r="I139" s="89">
        <v>7.0999999999999994E-2</v>
      </c>
      <c r="J139" s="32">
        <v>143</v>
      </c>
      <c r="K139" s="32">
        <f>IFERROR(SUMIFS('Cable Data'!$J:$J,'Cable Data'!$A:$A,B139,'Cable Data'!$B:$B,C139,'Cable Data'!$C:$C,D139,'Cable Data'!$D:$D,E139,'Cable Data'!$E:$E,F139),"")</f>
        <v>0.216</v>
      </c>
      <c r="L139" s="32">
        <f>IFERROR(SUMIFS('Cable Data'!$G:$G,'Cable Data'!$A:$A,B139,'Cable Data'!$B:$B,C139,'Cable Data'!$C:$C,D139,'Cable Data'!$D:$D,E139,'Cable Data'!$E:$E,F139),"")</f>
        <v>50.6</v>
      </c>
      <c r="M139" s="33"/>
      <c r="N139" s="67" t="s">
        <v>472</v>
      </c>
      <c r="O139" s="8"/>
      <c r="P139" s="8"/>
      <c r="Q139" s="8"/>
    </row>
    <row r="140" spans="1:17" x14ac:dyDescent="0.35">
      <c r="A140" s="31" t="s">
        <v>255</v>
      </c>
      <c r="B140" s="32" t="s">
        <v>308</v>
      </c>
      <c r="C140" s="32" t="s">
        <v>334</v>
      </c>
      <c r="D140" s="32" t="s">
        <v>255</v>
      </c>
      <c r="E140" s="32" t="s">
        <v>256</v>
      </c>
      <c r="F140" s="32">
        <v>400</v>
      </c>
      <c r="G140" s="32">
        <v>650</v>
      </c>
      <c r="H140" s="88">
        <v>6.0199999999999997E-2</v>
      </c>
      <c r="I140" s="89">
        <v>7.0000000000000007E-2</v>
      </c>
      <c r="J140" s="32">
        <v>143</v>
      </c>
      <c r="K140" s="32">
        <f>IFERROR(SUMIFS('Cable Data'!$J:$J,'Cable Data'!$A:$A,B140,'Cable Data'!$B:$B,C140,'Cable Data'!$C:$C,D140,'Cable Data'!$D:$D,E140,'Cable Data'!$E:$E,F140),"")</f>
        <v>0.17599999999999999</v>
      </c>
      <c r="L140" s="32">
        <f>IFERROR(SUMIFS('Cable Data'!$G:$G,'Cable Data'!$A:$A,B140,'Cable Data'!$B:$B,C140,'Cable Data'!$C:$C,D140,'Cable Data'!$D:$D,E140,'Cable Data'!$E:$E,F140),"")</f>
        <v>60.6</v>
      </c>
      <c r="M140" s="33"/>
      <c r="N140" s="67" t="s">
        <v>472</v>
      </c>
      <c r="O140" s="8"/>
      <c r="P140" s="8"/>
      <c r="Q140" s="8"/>
    </row>
    <row r="141" spans="1:17" ht="15" customHeight="1" thickBot="1" x14ac:dyDescent="0.4">
      <c r="A141" s="37" t="s">
        <v>255</v>
      </c>
      <c r="B141" s="39" t="s">
        <v>308</v>
      </c>
      <c r="C141" s="39" t="s">
        <v>334</v>
      </c>
      <c r="D141" s="39" t="s">
        <v>255</v>
      </c>
      <c r="E141" s="39" t="s">
        <v>260</v>
      </c>
      <c r="F141" s="39">
        <v>400</v>
      </c>
      <c r="G141" s="39">
        <v>650</v>
      </c>
      <c r="H141" s="90">
        <v>6.0199999999999997E-2</v>
      </c>
      <c r="I141" s="91">
        <v>7.0000000000000007E-2</v>
      </c>
      <c r="J141" s="39">
        <v>143</v>
      </c>
      <c r="K141" s="39">
        <f>IFERROR(SUMIFS('Cable Data'!$J:$J,'Cable Data'!$A:$A,B141,'Cable Data'!$B:$B,C141,'Cable Data'!$C:$C,D141,'Cable Data'!$D:$D,E141,'Cable Data'!$E:$E,F141),"")</f>
        <v>0.17599999999999999</v>
      </c>
      <c r="L141" s="39">
        <f>IFERROR(SUMIFS('Cable Data'!$G:$G,'Cable Data'!$A:$A,B141,'Cable Data'!$B:$B,C141,'Cable Data'!$C:$C,D141,'Cable Data'!$D:$D,E141,'Cable Data'!$E:$E,F141),"")</f>
        <v>57</v>
      </c>
      <c r="M141" s="40"/>
      <c r="N141" s="67" t="s">
        <v>472</v>
      </c>
      <c r="O141" s="8"/>
      <c r="P141" s="8"/>
      <c r="Q141" s="8"/>
    </row>
  </sheetData>
  <autoFilter ref="A1:M141" xr:uid="{00000000-0009-0000-0000-000009000000}"/>
  <pageMargins left="0.75" right="0.75" top="1" bottom="1" header="0.511811023622047" footer="0.511811023622047"/>
  <pageSetup paperSize="9" scale="47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01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6328125" defaultRowHeight="15" customHeight="1" x14ac:dyDescent="0.35"/>
  <cols>
    <col min="1" max="14" width="18" customWidth="1"/>
  </cols>
  <sheetData>
    <row r="1" spans="1:14" ht="15" customHeight="1" x14ac:dyDescent="0.35">
      <c r="A1" s="1" t="s">
        <v>473</v>
      </c>
      <c r="B1" s="1" t="s">
        <v>474</v>
      </c>
      <c r="C1" s="1" t="s">
        <v>475</v>
      </c>
      <c r="D1" s="1" t="s">
        <v>476</v>
      </c>
      <c r="E1" s="1" t="s">
        <v>88</v>
      </c>
      <c r="F1" s="1" t="s">
        <v>89</v>
      </c>
      <c r="G1" s="1" t="s">
        <v>477</v>
      </c>
      <c r="H1" s="1" t="s">
        <v>478</v>
      </c>
      <c r="I1" s="1" t="s">
        <v>63</v>
      </c>
      <c r="J1" s="1" t="s">
        <v>64</v>
      </c>
      <c r="K1" s="1" t="s">
        <v>479</v>
      </c>
      <c r="L1" s="1" t="s">
        <v>480</v>
      </c>
      <c r="M1" s="1" t="s">
        <v>481</v>
      </c>
      <c r="N1" s="1" t="s">
        <v>482</v>
      </c>
    </row>
    <row r="2" spans="1:14" ht="15" customHeight="1" x14ac:dyDescent="0.35">
      <c r="A2">
        <v>4</v>
      </c>
      <c r="B2">
        <v>400</v>
      </c>
      <c r="C2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Master'!$F:$F,B2),"")</f>
        <v>530</v>
      </c>
      <c r="D2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Master'!$F:$F,B2),"")</f>
        <v>0.1023</v>
      </c>
      <c r="E2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Master'!$F:$F,B2),"")</f>
        <v>0.1023</v>
      </c>
      <c r="F2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Master'!$F:$F,B2),"")</f>
        <v>7.0000000000000007E-2</v>
      </c>
      <c r="G2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Master'!$F:$F,B2),"")</f>
        <v>143</v>
      </c>
      <c r="H2">
        <f>IF(AND(ISNUMBER(C2),C2&gt;='Bulk Calculator'!U4/('Bulk Calculator'!J4*'Bulk Calculator'!L4)),1,0)</f>
        <v>1</v>
      </c>
      <c r="I2">
        <f>IFERROR(IF(AND(ISNUMBER(E2),ISNUMBER(F2),E2&gt;0,F2&gt;0),SQRT(3)*'Bulk Calculator'!O4*'Bulk Calculator'!AA4*((E2*'Bulk Calculator'!Q4)+(F2*SQRT(1-'Bulk Calculator'!Q4^2)))/'Bulk Calculator'!J4/'Bulk Calculator'!K4*100,D2*'Bulk Calculator'!AA4*'Bulk Calculator'!O4/'Bulk Calculator'!J4/'Bulk Calculator'!K4*100),"")</f>
        <v>0.47107741337637066</v>
      </c>
      <c r="J2">
        <f>IFERROR(IF(AND(ISNUMBER(E2),ISNUMBER(F2),E2&gt;0,F2&gt;0),SQRT(3)*'Bulk Calculator'!O4*'Bulk Calculator'!U4*((E2*'Bulk Calculator'!M4)+(F2*SQRT(1-'Bulk Calculator'!M4^2)))/'Bulk Calculator'!J4/'Bulk Calculator'!K4*100,D2*'Bulk Calculator'!U4*'Bulk Calculator'!O4/'Bulk Calculator'!J4/'Bulk Calculator'!K4*100),"")</f>
        <v>0.39900115220112231</v>
      </c>
      <c r="K2">
        <f>IFERROR(G2*B2*'Bulk Calculator'!J4/SQRT('Bulk Calculator'!S4)/1000,"")</f>
        <v>114.4</v>
      </c>
      <c r="L2">
        <f>IF(OR('Bulk Calculator'!R4="",'Bulk Calculator'!S4="",G2=""),0,IF(K2&gt;='Bulk Calculator'!R4,1,0))</f>
        <v>1</v>
      </c>
      <c r="M2">
        <f>IF(AND(H2=1,I2&lt;='OS-DORAEN'!$B$6,J2&lt;='OS-DORAEN'!$B$5,L2=1),1,0)</f>
        <v>1</v>
      </c>
      <c r="N2" t="str">
        <f t="shared" ref="N2:N65" si="0">IF(AND(ISNUMBER(E2),ISNUMBER(F2),E2&gt;0,F2&gt;0),"R/X","Manufacturer VD Ref")</f>
        <v>R/X</v>
      </c>
    </row>
    <row r="3" spans="1:14" ht="15" customHeight="1" x14ac:dyDescent="0.35">
      <c r="A3">
        <v>4</v>
      </c>
      <c r="B3">
        <v>300</v>
      </c>
      <c r="C3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Master'!$F:$F,B3),"")</f>
        <v>455</v>
      </c>
      <c r="D3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Master'!$F:$F,B3),"")</f>
        <v>0.13</v>
      </c>
      <c r="E3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Master'!$F:$F,B3),"")</f>
        <v>0.13</v>
      </c>
      <c r="F3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Master'!$F:$F,B3),"")</f>
        <v>7.0999999999999994E-2</v>
      </c>
      <c r="G3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Master'!$F:$F,B3),"")</f>
        <v>143</v>
      </c>
      <c r="H3">
        <f>IF(AND(ISNUMBER(C3),C3&gt;='Bulk Calculator'!U4/('Bulk Calculator'!J4*'Bulk Calculator'!L4)),1,0)</f>
        <v>1</v>
      </c>
      <c r="I3">
        <f>IFERROR(IF(AND(ISNUMBER(E3),ISNUMBER(F3),E3&gt;0,F3&gt;0),SQRT(3)*'Bulk Calculator'!O4*'Bulk Calculator'!AA4*((E3*'Bulk Calculator'!Q4)+(F3*SQRT(1-'Bulk Calculator'!Q4^2)))/'Bulk Calculator'!J4/'Bulk Calculator'!K4*100,D3*'Bulk Calculator'!AA4*'Bulk Calculator'!O4/'Bulk Calculator'!J4/'Bulk Calculator'!K4*100),"")</f>
        <v>0.51585245261721813</v>
      </c>
      <c r="J3">
        <f>IFERROR(IF(AND(ISNUMBER(E3),ISNUMBER(F3),E3&gt;0,F3&gt;0),SQRT(3)*'Bulk Calculator'!O4*'Bulk Calculator'!U4*((E3*'Bulk Calculator'!M4)+(F3*SQRT(1-'Bulk Calculator'!M4^2)))/'Bulk Calculator'!J4/'Bulk Calculator'!K4*100,D3*'Bulk Calculator'!U4*'Bulk Calculator'!O4/'Bulk Calculator'!J4/'Bulk Calculator'!K4*100),"")</f>
        <v>0.47656463004083693</v>
      </c>
      <c r="K3">
        <f>IFERROR(G3*B3*'Bulk Calculator'!J4/SQRT('Bulk Calculator'!S4)/1000,"")</f>
        <v>85.8</v>
      </c>
      <c r="L3">
        <f>IF(OR('Bulk Calculator'!R4="",'Bulk Calculator'!S4="",G3=""),0,IF(K3&gt;='Bulk Calculator'!R4,1,0))</f>
        <v>1</v>
      </c>
      <c r="M3">
        <f>IF(AND(H3=1,I3&lt;='OS-DORAEN'!$B$6,J3&lt;='OS-DORAEN'!$B$5,L3=1),1,0)</f>
        <v>1</v>
      </c>
      <c r="N3" t="str">
        <f t="shared" si="0"/>
        <v>R/X</v>
      </c>
    </row>
    <row r="4" spans="1:14" ht="15" customHeight="1" x14ac:dyDescent="0.35">
      <c r="A4">
        <v>4</v>
      </c>
      <c r="B4">
        <v>240</v>
      </c>
      <c r="C4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Master'!$F:$F,B4),"")</f>
        <v>399</v>
      </c>
      <c r="D4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Master'!$F:$F,B4),"")</f>
        <v>0.16200000000000001</v>
      </c>
      <c r="E4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Master'!$F:$F,B4),"")</f>
        <v>0.16200000000000001</v>
      </c>
      <c r="F4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Master'!$F:$F,B4),"")</f>
        <v>7.1999999999999995E-2</v>
      </c>
      <c r="G4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Master'!$F:$F,B4),"")</f>
        <v>143</v>
      </c>
      <c r="H4">
        <f>IF(AND(ISNUMBER(C4),C4&gt;='Bulk Calculator'!U4/('Bulk Calculator'!J4*'Bulk Calculator'!L4)),1,0)</f>
        <v>1</v>
      </c>
      <c r="I4">
        <f>IFERROR(IF(AND(ISNUMBER(E4),ISNUMBER(F4),E4&gt;0,F4&gt;0),SQRT(3)*'Bulk Calculator'!O4*'Bulk Calculator'!AA4*((E4*'Bulk Calculator'!Q4)+(F4*SQRT(1-'Bulk Calculator'!Q4^2)))/'Bulk Calculator'!J4/'Bulk Calculator'!K4*100,D4*'Bulk Calculator'!AA4*'Bulk Calculator'!O4/'Bulk Calculator'!J4/'Bulk Calculator'!K4*100),"")</f>
        <v>0.5668623989925875</v>
      </c>
      <c r="J4">
        <f>IFERROR(IF(AND(ISNUMBER(E4),ISNUMBER(F4),E4&gt;0,F4&gt;0),SQRT(3)*'Bulk Calculator'!O4*'Bulk Calculator'!U4*((E4*'Bulk Calculator'!M4)+(F4*SQRT(1-'Bulk Calculator'!M4^2)))/'Bulk Calculator'!J4/'Bulk Calculator'!K4*100,D4*'Bulk Calculator'!U4*'Bulk Calculator'!O4/'Bulk Calculator'!J4/'Bulk Calculator'!K4*100),"")</f>
        <v>0.56590515469020441</v>
      </c>
      <c r="K4">
        <f>IFERROR(G4*B4*'Bulk Calculator'!J4/SQRT('Bulk Calculator'!S4)/1000,"")</f>
        <v>68.64</v>
      </c>
      <c r="L4">
        <f>IF(OR('Bulk Calculator'!R4="",'Bulk Calculator'!S4="",G4=""),0,IF(K4&gt;='Bulk Calculator'!R4,1,0))</f>
        <v>1</v>
      </c>
      <c r="M4">
        <f>IF(AND(H4=1,I4&lt;='OS-DORAEN'!$B$6,J4&lt;='OS-DORAEN'!$B$5,L4=1),1,0)</f>
        <v>1</v>
      </c>
      <c r="N4" t="str">
        <f t="shared" si="0"/>
        <v>R/X</v>
      </c>
    </row>
    <row r="5" spans="1:14" ht="15" customHeight="1" x14ac:dyDescent="0.35">
      <c r="A5">
        <v>4</v>
      </c>
      <c r="B5">
        <v>185</v>
      </c>
      <c r="C5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Master'!$F:$F,B5),"")</f>
        <v>337</v>
      </c>
      <c r="D5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Master'!$F:$F,B5),"")</f>
        <v>0.21099999999999999</v>
      </c>
      <c r="E5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Master'!$F:$F,B5),"")</f>
        <v>0.21099999999999999</v>
      </c>
      <c r="F5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Master'!$F:$F,B5),"")</f>
        <v>7.1999999999999995E-2</v>
      </c>
      <c r="G5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Master'!$F:$F,B5),"")</f>
        <v>143</v>
      </c>
      <c r="H5">
        <f>IF(AND(ISNUMBER(C5),C5&gt;='Bulk Calculator'!U4/('Bulk Calculator'!J4*'Bulk Calculator'!L4)),1,0)</f>
        <v>1</v>
      </c>
      <c r="I5">
        <f>IFERROR(IF(AND(ISNUMBER(E5),ISNUMBER(F5),E5&gt;0,F5&gt;0),SQRT(3)*'Bulk Calculator'!O4*'Bulk Calculator'!AA4*((E5*'Bulk Calculator'!Q4)+(F5*SQRT(1-'Bulk Calculator'!Q4^2)))/'Bulk Calculator'!J4/'Bulk Calculator'!K4*100,D5*'Bulk Calculator'!AA4*'Bulk Calculator'!O4/'Bulk Calculator'!J4/'Bulk Calculator'!K4*100),"")</f>
        <v>0.63791134075807154</v>
      </c>
      <c r="J5">
        <f>IFERROR(IF(AND(ISNUMBER(E5),ISNUMBER(F5),E5&gt;0,F5&gt;0),SQRT(3)*'Bulk Calculator'!O4*'Bulk Calculator'!U4*((E5*'Bulk Calculator'!M4)+(F5*SQRT(1-'Bulk Calculator'!M4^2)))/'Bulk Calculator'!J4/'Bulk Calculator'!K4*100,D5*'Bulk Calculator'!U4*'Bulk Calculator'!O4/'Bulk Calculator'!J4/'Bulk Calculator'!K4*100),"")</f>
        <v>0.70010871135834096</v>
      </c>
      <c r="K5">
        <f>IFERROR(G5*B5*'Bulk Calculator'!J4/SQRT('Bulk Calculator'!S4)/1000,"")</f>
        <v>52.91</v>
      </c>
      <c r="L5">
        <f>IF(OR('Bulk Calculator'!R4="",'Bulk Calculator'!S4="",G5=""),0,IF(K5&gt;='Bulk Calculator'!R4,1,0))</f>
        <v>1</v>
      </c>
      <c r="M5">
        <f>IF(AND(H5=1,I5&lt;='OS-DORAEN'!$B$6,J5&lt;='OS-DORAEN'!$B$5,L5=1),1,0)</f>
        <v>1</v>
      </c>
      <c r="N5" t="str">
        <f t="shared" si="0"/>
        <v>R/X</v>
      </c>
    </row>
    <row r="6" spans="1:14" ht="15" customHeight="1" x14ac:dyDescent="0.35">
      <c r="A6">
        <v>4</v>
      </c>
      <c r="B6">
        <v>150</v>
      </c>
      <c r="C6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Master'!$F:$F,B6),"")</f>
        <v>292</v>
      </c>
      <c r="D6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Master'!$F:$F,B6),"")</f>
        <v>0.26500000000000001</v>
      </c>
      <c r="E6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Master'!$F:$F,B6),"")</f>
        <v>0.26500000000000001</v>
      </c>
      <c r="F6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Master'!$F:$F,B6),"")</f>
        <v>7.1999999999999995E-2</v>
      </c>
      <c r="G6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Master'!$F:$F,B6),"")</f>
        <v>143</v>
      </c>
      <c r="H6">
        <f>IF(AND(ISNUMBER(C6),C6&gt;='Bulk Calculator'!U4/('Bulk Calculator'!J4*'Bulk Calculator'!L4)),1,0)</f>
        <v>1</v>
      </c>
      <c r="I6">
        <f>IFERROR(IF(AND(ISNUMBER(E6),ISNUMBER(F6),E6&gt;0,F6&gt;0),SQRT(3)*'Bulk Calculator'!O4*'Bulk Calculator'!AA4*((E6*'Bulk Calculator'!Q4)+(F6*SQRT(1-'Bulk Calculator'!Q4^2)))/'Bulk Calculator'!J4/'Bulk Calculator'!K4*100,D6*'Bulk Calculator'!AA4*'Bulk Calculator'!O4/'Bulk Calculator'!J4/'Bulk Calculator'!K4*100),"")</f>
        <v>0.71621017454044178</v>
      </c>
      <c r="J6">
        <f>IFERROR(IF(AND(ISNUMBER(E6),ISNUMBER(F6),E6&gt;0,F6&gt;0),SQRT(3)*'Bulk Calculator'!O4*'Bulk Calculator'!U4*((E6*'Bulk Calculator'!M4)+(F6*SQRT(1-'Bulk Calculator'!M4^2)))/'Bulk Calculator'!J4/'Bulk Calculator'!K4*100,D6*'Bulk Calculator'!U4*'Bulk Calculator'!O4/'Bulk Calculator'!J4/'Bulk Calculator'!K4*100),"")</f>
        <v>0.84800650850281789</v>
      </c>
      <c r="K6">
        <f>IFERROR(G6*B6*'Bulk Calculator'!J4/SQRT('Bulk Calculator'!S4)/1000,"")</f>
        <v>42.9</v>
      </c>
      <c r="L6">
        <f>IF(OR('Bulk Calculator'!R4="",'Bulk Calculator'!S4="",G6=""),0,IF(K6&gt;='Bulk Calculator'!R4,1,0))</f>
        <v>1</v>
      </c>
      <c r="M6">
        <f>IF(AND(H6=1,I6&lt;='OS-DORAEN'!$B$6,J6&lt;='OS-DORAEN'!$B$5,L6=1),1,0)</f>
        <v>1</v>
      </c>
      <c r="N6" t="str">
        <f t="shared" si="0"/>
        <v>R/X</v>
      </c>
    </row>
    <row r="7" spans="1:14" ht="15" customHeight="1" x14ac:dyDescent="0.35">
      <c r="A7">
        <v>4</v>
      </c>
      <c r="B7">
        <v>120</v>
      </c>
      <c r="C7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Master'!$F:$F,B7),"")</f>
        <v>257</v>
      </c>
      <c r="D7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Master'!$F:$F,B7),"")</f>
        <v>0.32500000000000001</v>
      </c>
      <c r="E7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Master'!$F:$F,B7),"")</f>
        <v>0.32500000000000001</v>
      </c>
      <c r="F7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Master'!$F:$F,B7),"")</f>
        <v>7.1999999999999995E-2</v>
      </c>
      <c r="G7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Master'!$F:$F,B7),"")</f>
        <v>143</v>
      </c>
      <c r="H7">
        <f>IF(AND(ISNUMBER(C7),C7&gt;='Bulk Calculator'!U4/('Bulk Calculator'!J4*'Bulk Calculator'!L4)),1,0)</f>
        <v>1</v>
      </c>
      <c r="I7">
        <f>IFERROR(IF(AND(ISNUMBER(E7),ISNUMBER(F7),E7&gt;0,F7&gt;0),SQRT(3)*'Bulk Calculator'!O4*'Bulk Calculator'!AA4*((E7*'Bulk Calculator'!Q4)+(F7*SQRT(1-'Bulk Calculator'!Q4^2)))/'Bulk Calculator'!J4/'Bulk Calculator'!K4*100,D7*'Bulk Calculator'!AA4*'Bulk Calculator'!O4/'Bulk Calculator'!J4/'Bulk Calculator'!K4*100),"")</f>
        <v>0.80320887874307523</v>
      </c>
      <c r="J7">
        <f>IFERROR(IF(AND(ISNUMBER(E7),ISNUMBER(F7),E7&gt;0,F7&gt;0),SQRT(3)*'Bulk Calculator'!O4*'Bulk Calculator'!U4*((E7*'Bulk Calculator'!M4)+(F7*SQRT(1-'Bulk Calculator'!M4^2)))/'Bulk Calculator'!J4/'Bulk Calculator'!K4*100,D7*'Bulk Calculator'!U4*'Bulk Calculator'!O4/'Bulk Calculator'!J4/'Bulk Calculator'!K4*100),"")</f>
        <v>1.0123373942189036</v>
      </c>
      <c r="K7">
        <f>IFERROR(G7*B7*'Bulk Calculator'!J4/SQRT('Bulk Calculator'!S4)/1000,"")</f>
        <v>34.32</v>
      </c>
      <c r="L7">
        <f>IF(OR('Bulk Calculator'!R4="",'Bulk Calculator'!S4="",G7=""),0,IF(K7&gt;='Bulk Calculator'!R4,1,0))</f>
        <v>1</v>
      </c>
      <c r="M7">
        <f>IF(AND(H7=1,I7&lt;='OS-DORAEN'!$B$6,J7&lt;='OS-DORAEN'!$B$5,L7=1),1,0)</f>
        <v>1</v>
      </c>
      <c r="N7" t="str">
        <f t="shared" si="0"/>
        <v>R/X</v>
      </c>
    </row>
    <row r="8" spans="1:14" ht="15" customHeight="1" x14ac:dyDescent="0.35">
      <c r="A8">
        <v>4</v>
      </c>
      <c r="B8">
        <v>95</v>
      </c>
      <c r="C8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Master'!$F:$F,B8),"")</f>
        <v>221</v>
      </c>
      <c r="D8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Master'!$F:$F,B8),"")</f>
        <v>0.41</v>
      </c>
      <c r="E8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Master'!$F:$F,B8),"")</f>
        <v>0.41</v>
      </c>
      <c r="F8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Master'!$F:$F,B8),"")</f>
        <v>7.3999999999999996E-2</v>
      </c>
      <c r="G8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Master'!$F:$F,B8),"")</f>
        <v>143</v>
      </c>
      <c r="H8">
        <f>IF(AND(ISNUMBER(C8),C8&gt;='Bulk Calculator'!U4/('Bulk Calculator'!J4*'Bulk Calculator'!L4)),1,0)</f>
        <v>0</v>
      </c>
      <c r="I8">
        <f>IFERROR(IF(AND(ISNUMBER(E8),ISNUMBER(F8),E8&gt;0,F8&gt;0),SQRT(3)*'Bulk Calculator'!O4*'Bulk Calculator'!AA4*((E8*'Bulk Calculator'!Q4)+(F8*SQRT(1-'Bulk Calculator'!Q4^2)))/'Bulk Calculator'!J4/'Bulk Calculator'!K4*100,D8*'Bulk Calculator'!AA4*'Bulk Calculator'!O4/'Bulk Calculator'!J4/'Bulk Calculator'!K4*100),"")</f>
        <v>0.93567831796473577</v>
      </c>
      <c r="J8">
        <f>IFERROR(IF(AND(ISNUMBER(E8),ISNUMBER(F8),E8&gt;0,F8&gt;0),SQRT(3)*'Bulk Calculator'!O4*'Bulk Calculator'!U4*((E8*'Bulk Calculator'!M4)+(F8*SQRT(1-'Bulk Calculator'!M4^2)))/'Bulk Calculator'!J4/'Bulk Calculator'!K4*100,D8*'Bulk Calculator'!U4*'Bulk Calculator'!O4/'Bulk Calculator'!J4/'Bulk Calculator'!K4*100),"")</f>
        <v>1.2485342535182682</v>
      </c>
      <c r="K8">
        <f>IFERROR(G8*B8*'Bulk Calculator'!J4/SQRT('Bulk Calculator'!S4)/1000,"")</f>
        <v>27.17</v>
      </c>
      <c r="L8">
        <f>IF(OR('Bulk Calculator'!R4="",'Bulk Calculator'!S4="",G8=""),0,IF(K8&gt;='Bulk Calculator'!R4,1,0))</f>
        <v>1</v>
      </c>
      <c r="M8">
        <f>IF(AND(H8=1,I8&lt;='OS-DORAEN'!$B$6,J8&lt;='OS-DORAEN'!$B$5,L8=1),1,0)</f>
        <v>0</v>
      </c>
      <c r="N8" t="str">
        <f t="shared" si="0"/>
        <v>R/X</v>
      </c>
    </row>
    <row r="9" spans="1:14" ht="15" customHeight="1" x14ac:dyDescent="0.35">
      <c r="A9">
        <v>4</v>
      </c>
      <c r="B9">
        <v>70</v>
      </c>
      <c r="C9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Master'!$F:$F,B9),"")</f>
        <v>179</v>
      </c>
      <c r="D9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Master'!$F:$F,B9),"")</f>
        <v>0.56699999999999995</v>
      </c>
      <c r="E9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Master'!$F:$F,B9),"")</f>
        <v>0.56699999999999995</v>
      </c>
      <c r="F9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Master'!$F:$F,B9),"")</f>
        <v>7.6999999999999999E-2</v>
      </c>
      <c r="G9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Master'!$F:$F,B9),"")</f>
        <v>143</v>
      </c>
      <c r="H9">
        <f>IF(AND(ISNUMBER(C9),C9&gt;='Bulk Calculator'!U4/('Bulk Calculator'!J4*'Bulk Calculator'!L4)),1,0)</f>
        <v>0</v>
      </c>
      <c r="I9">
        <f>IFERROR(IF(AND(ISNUMBER(E9),ISNUMBER(F9),E9&gt;0,F9&gt;0),SQRT(3)*'Bulk Calculator'!O4*'Bulk Calculator'!AA4*((E9*'Bulk Calculator'!Q4)+(F9*SQRT(1-'Bulk Calculator'!Q4^2)))/'Bulk Calculator'!J4/'Bulk Calculator'!K4*100,D9*'Bulk Calculator'!AA4*'Bulk Calculator'!O4/'Bulk Calculator'!J4/'Bulk Calculator'!K4*100),"")</f>
        <v>1.177156839696855</v>
      </c>
      <c r="J9">
        <f>IFERROR(IF(AND(ISNUMBER(E9),ISNUMBER(F9),E9&gt;0,F9&gt;0),SQRT(3)*'Bulk Calculator'!O4*'Bulk Calculator'!U4*((E9*'Bulk Calculator'!M4)+(F9*SQRT(1-'Bulk Calculator'!M4^2)))/'Bulk Calculator'!J4/'Bulk Calculator'!K4*100,D9*'Bulk Calculator'!U4*'Bulk Calculator'!O4/'Bulk Calculator'!J4/'Bulk Calculator'!K4*100),"")</f>
        <v>1.683625561277724</v>
      </c>
      <c r="K9">
        <f>IFERROR(G9*B9*'Bulk Calculator'!J4/SQRT('Bulk Calculator'!S4)/1000,"")</f>
        <v>20.02</v>
      </c>
      <c r="L9">
        <f>IF(OR('Bulk Calculator'!R4="",'Bulk Calculator'!S4="",G9=""),0,IF(K9&gt;='Bulk Calculator'!R4,1,0))</f>
        <v>1</v>
      </c>
      <c r="M9">
        <f>IF(AND(H9=1,I9&lt;='OS-DORAEN'!$B$6,J9&lt;='OS-DORAEN'!$B$5,L9=1),1,0)</f>
        <v>0</v>
      </c>
      <c r="N9" t="str">
        <f t="shared" si="0"/>
        <v>R/X</v>
      </c>
    </row>
    <row r="10" spans="1:14" ht="15" customHeight="1" x14ac:dyDescent="0.35">
      <c r="A10">
        <v>4</v>
      </c>
      <c r="B10">
        <v>50</v>
      </c>
      <c r="C10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Master'!$F:$F,B10),"")</f>
        <v>142</v>
      </c>
      <c r="D10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Master'!$F:$F,B10),"")</f>
        <v>0.82</v>
      </c>
      <c r="E10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Master'!$F:$F,B10),"")</f>
        <v>0.82</v>
      </c>
      <c r="F10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Master'!$F:$F,B10),"")</f>
        <v>7.8E-2</v>
      </c>
      <c r="G10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Master'!$F:$F,B10),"")</f>
        <v>143</v>
      </c>
      <c r="H10">
        <f>IF(AND(ISNUMBER(C10),C10&gt;='Bulk Calculator'!U4/('Bulk Calculator'!J4*'Bulk Calculator'!L4)),1,0)</f>
        <v>0</v>
      </c>
      <c r="I10">
        <f>IFERROR(IF(AND(ISNUMBER(E10),ISNUMBER(F10),E10&gt;0,F10&gt;0),SQRT(3)*'Bulk Calculator'!O4*'Bulk Calculator'!AA4*((E10*'Bulk Calculator'!Q4)+(F10*SQRT(1-'Bulk Calculator'!Q4^2)))/'Bulk Calculator'!J4/'Bulk Calculator'!K4*100,D10*'Bulk Calculator'!AA4*'Bulk Calculator'!O4/'Bulk Calculator'!J4/'Bulk Calculator'!K4*100),"")</f>
        <v>1.5486120132185912</v>
      </c>
      <c r="J10">
        <f>IFERROR(IF(AND(ISNUMBER(E10),ISNUMBER(F10),E10&gt;0,F10&gt;0),SQRT(3)*'Bulk Calculator'!O4*'Bulk Calculator'!U4*((E10*'Bulk Calculator'!M4)+(F10*SQRT(1-'Bulk Calculator'!M4^2)))/'Bulk Calculator'!J4/'Bulk Calculator'!K4*100,D10*'Bulk Calculator'!U4*'Bulk Calculator'!O4/'Bulk Calculator'!J4/'Bulk Calculator'!K4*100),"")</f>
        <v>2.3782515149813404</v>
      </c>
      <c r="K10">
        <f>IFERROR(G10*B10*'Bulk Calculator'!J4/SQRT('Bulk Calculator'!S4)/1000,"")</f>
        <v>14.3</v>
      </c>
      <c r="L10">
        <f>IF(OR('Bulk Calculator'!R4="",'Bulk Calculator'!S4="",G10=""),0,IF(K10&gt;='Bulk Calculator'!R4,1,0))</f>
        <v>1</v>
      </c>
      <c r="M10">
        <f>IF(AND(H10=1,I10&lt;='OS-DORAEN'!$B$6,J10&lt;='OS-DORAEN'!$B$5,L10=1),1,0)</f>
        <v>0</v>
      </c>
      <c r="N10" t="str">
        <f t="shared" si="0"/>
        <v>R/X</v>
      </c>
    </row>
    <row r="11" spans="1:14" ht="15" customHeight="1" x14ac:dyDescent="0.35">
      <c r="A11">
        <v>4</v>
      </c>
      <c r="B11">
        <v>35</v>
      </c>
      <c r="C11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Master'!$F:$F,B11),"")</f>
        <v>117</v>
      </c>
      <c r="D11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Master'!$F:$F,B11),"")</f>
        <v>1.1100000000000001</v>
      </c>
      <c r="E11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Master'!$F:$F,B11),"")</f>
        <v>1.1100000000000001</v>
      </c>
      <c r="F11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Master'!$F:$F,B11),"")</f>
        <v>0.08</v>
      </c>
      <c r="G11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Master'!$F:$F,B11),"")</f>
        <v>143</v>
      </c>
      <c r="H11">
        <f>IF(AND(ISNUMBER(C11),C11&gt;='Bulk Calculator'!U4/('Bulk Calculator'!J4*'Bulk Calculator'!L4)),1,0)</f>
        <v>0</v>
      </c>
      <c r="I11">
        <f>IFERROR(IF(AND(ISNUMBER(E11),ISNUMBER(F11),E11&gt;0,F11&gt;0),SQRT(3)*'Bulk Calculator'!O4*'Bulk Calculator'!AA4*((E11*'Bulk Calculator'!Q4)+(F11*SQRT(1-'Bulk Calculator'!Q4^2)))/'Bulk Calculator'!J4/'Bulk Calculator'!K4*100,D11*'Bulk Calculator'!AA4*'Bulk Calculator'!O4/'Bulk Calculator'!J4/'Bulk Calculator'!K4*100),"")</f>
        <v>1.9783270251325833</v>
      </c>
      <c r="J11">
        <f>IFERROR(IF(AND(ISNUMBER(E11),ISNUMBER(F11),E11&gt;0,F11&gt;0),SQRT(3)*'Bulk Calculator'!O4*'Bulk Calculator'!U4*((E11*'Bulk Calculator'!M4)+(F11*SQRT(1-'Bulk Calculator'!M4^2)))/'Bulk Calculator'!J4/'Bulk Calculator'!K4*100,D11*'Bulk Calculator'!U4*'Bulk Calculator'!O4/'Bulk Calculator'!J4/'Bulk Calculator'!K4*100),"")</f>
        <v>3.175912233810664</v>
      </c>
      <c r="K11">
        <f>IFERROR(G11*B11*'Bulk Calculator'!J4/SQRT('Bulk Calculator'!S4)/1000,"")</f>
        <v>10.01</v>
      </c>
      <c r="L11">
        <f>IF(OR('Bulk Calculator'!R4="",'Bulk Calculator'!S4="",G11=""),0,IF(K11&gt;='Bulk Calculator'!R4,1,0))</f>
        <v>0</v>
      </c>
      <c r="M11">
        <f>IF(AND(H11=1,I11&lt;='OS-DORAEN'!$B$6,J11&lt;='OS-DORAEN'!$B$5,L11=1),1,0)</f>
        <v>0</v>
      </c>
      <c r="N11" t="str">
        <f t="shared" si="0"/>
        <v>R/X</v>
      </c>
    </row>
    <row r="12" spans="1:14" ht="15" customHeight="1" x14ac:dyDescent="0.35">
      <c r="A12">
        <v>4</v>
      </c>
      <c r="B12">
        <v>25</v>
      </c>
      <c r="C12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Master'!$F:$F,B12),"")</f>
        <v>96</v>
      </c>
      <c r="D12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Master'!$F:$F,B12),"")</f>
        <v>1.54</v>
      </c>
      <c r="E12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Master'!$F:$F,B12),"")</f>
        <v>1.54</v>
      </c>
      <c r="F12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Master'!$F:$F,B12),"")</f>
        <v>0.08</v>
      </c>
      <c r="G12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Master'!$F:$F,B12),"")</f>
        <v>143</v>
      </c>
      <c r="H12">
        <f>IF(AND(ISNUMBER(C12),C12&gt;='Bulk Calculator'!U4/('Bulk Calculator'!J4*'Bulk Calculator'!L4)),1,0)</f>
        <v>0</v>
      </c>
      <c r="I12">
        <f>IFERROR(IF(AND(ISNUMBER(E12),ISNUMBER(F12),E12&gt;0,F12&gt;0),SQRT(3)*'Bulk Calculator'!O4*'Bulk Calculator'!AA4*((E12*'Bulk Calculator'!Q4)+(F12*SQRT(1-'Bulk Calculator'!Q4^2)))/'Bulk Calculator'!J4/'Bulk Calculator'!K4*100,D12*'Bulk Calculator'!AA4*'Bulk Calculator'!O4/'Bulk Calculator'!J4/'Bulk Calculator'!K4*100),"")</f>
        <v>2.6018177385847898</v>
      </c>
      <c r="J12">
        <f>IFERROR(IF(AND(ISNUMBER(E12),ISNUMBER(F12),E12&gt;0,F12&gt;0),SQRT(3)*'Bulk Calculator'!O4*'Bulk Calculator'!U4*((E12*'Bulk Calculator'!M4)+(F12*SQRT(1-'Bulk Calculator'!M4^2)))/'Bulk Calculator'!J4/'Bulk Calculator'!K4*100,D12*'Bulk Calculator'!U4*'Bulk Calculator'!O4/'Bulk Calculator'!J4/'Bulk Calculator'!K4*100),"")</f>
        <v>4.3536169147759445</v>
      </c>
      <c r="K12">
        <f>IFERROR(G12*B12*'Bulk Calculator'!J4/SQRT('Bulk Calculator'!S4)/1000,"")</f>
        <v>7.15</v>
      </c>
      <c r="L12">
        <f>IF(OR('Bulk Calculator'!R4="",'Bulk Calculator'!S4="",G12=""),0,IF(K12&gt;='Bulk Calculator'!R4,1,0))</f>
        <v>0</v>
      </c>
      <c r="M12">
        <f>IF(AND(H12=1,I12&lt;='OS-DORAEN'!$B$6,J12&lt;='OS-DORAEN'!$B$5,L12=1),1,0)</f>
        <v>0</v>
      </c>
      <c r="N12" t="str">
        <f t="shared" si="0"/>
        <v>R/X</v>
      </c>
    </row>
    <row r="13" spans="1:14" ht="15" customHeight="1" x14ac:dyDescent="0.35">
      <c r="A13">
        <v>4</v>
      </c>
      <c r="B13">
        <v>16</v>
      </c>
      <c r="C13">
        <f>IFERROR(SUMIFS('Cable Data Master'!$G:$G,'Cable Data Master'!$A:$A,'Bulk Calculator'!$BF4,'Cable Data Master'!$B:$B,'Bulk Calculator'!$BG4,'Cable Data Master'!$C:$C,'Bulk Calculator'!$BH4,'Cable Data Master'!$D:$D,'Bulk Calculator'!$BI4,'Cable Data Master'!$E:$E,'Bulk Calculator'!$BJ4,'Cable Data Master'!$F:$F,B13),"")</f>
        <v>0</v>
      </c>
      <c r="D13">
        <f>IFERROR(SUMIFS('Cable Data Master'!$K:$K,'Cable Data Master'!$A:$A,'Bulk Calculator'!$BF4,'Cable Data Master'!$B:$B,'Bulk Calculator'!$BG4,'Cable Data Master'!$C:$C,'Bulk Calculator'!$BH4,'Cable Data Master'!$D:$D,'Bulk Calculator'!$BI4,'Cable Data Master'!$E:$E,'Bulk Calculator'!$BJ4,'Cable Data Master'!$F:$F,B13),"")</f>
        <v>0</v>
      </c>
      <c r="E13">
        <f>IFERROR(SUMIFS('Cable Data Master'!$H:$H,'Cable Data Master'!$A:$A,'Bulk Calculator'!$BF4,'Cable Data Master'!$B:$B,'Bulk Calculator'!$BG4,'Cable Data Master'!$C:$C,'Bulk Calculator'!$BH4,'Cable Data Master'!$D:$D,'Bulk Calculator'!$BI4,'Cable Data Master'!$E:$E,'Bulk Calculator'!$BJ4,'Cable Data Master'!$F:$F,B13),"")</f>
        <v>0</v>
      </c>
      <c r="F13">
        <f>IFERROR(SUMIFS('Cable Data Master'!$I:$I,'Cable Data Master'!$A:$A,'Bulk Calculator'!$BF4,'Cable Data Master'!$B:$B,'Bulk Calculator'!$BG4,'Cable Data Master'!$C:$C,'Bulk Calculator'!$BH4,'Cable Data Master'!$D:$D,'Bulk Calculator'!$BI4,'Cable Data Master'!$E:$E,'Bulk Calculator'!$BJ4,'Cable Data Master'!$F:$F,B13),"")</f>
        <v>0</v>
      </c>
      <c r="G13">
        <f>IFERROR(SUMIFS('Cable Data Master'!$J:$J,'Cable Data Master'!$A:$A,'Bulk Calculator'!$BF4,'Cable Data Master'!$B:$B,'Bulk Calculator'!$BG4,'Cable Data Master'!$C:$C,'Bulk Calculator'!$BH4,'Cable Data Master'!$D:$D,'Bulk Calculator'!$BI4,'Cable Data Master'!$E:$E,'Bulk Calculator'!$BJ4,'Cable Data Master'!$F:$F,B13),"")</f>
        <v>0</v>
      </c>
      <c r="H13">
        <f>IF(AND(ISNUMBER(C13),C13&gt;='Bulk Calculator'!U4/('Bulk Calculator'!J4*'Bulk Calculator'!L4)),1,0)</f>
        <v>0</v>
      </c>
      <c r="I13">
        <f>IFERROR(IF(AND(ISNUMBER(E13),ISNUMBER(F13),E13&gt;0,F13&gt;0),SQRT(3)*'Bulk Calculator'!O4*'Bulk Calculator'!AA4*((E13*'Bulk Calculator'!Q4)+(F13*SQRT(1-'Bulk Calculator'!Q4^2)))/'Bulk Calculator'!J4/'Bulk Calculator'!K4*100,D13*'Bulk Calculator'!AA4*'Bulk Calculator'!O4/'Bulk Calculator'!J4/'Bulk Calculator'!K4*100),"")</f>
        <v>0</v>
      </c>
      <c r="J13">
        <f>IFERROR(IF(AND(ISNUMBER(E13),ISNUMBER(F13),E13&gt;0,F13&gt;0),SQRT(3)*'Bulk Calculator'!O4*'Bulk Calculator'!U4*((E13*'Bulk Calculator'!M4)+(F13*SQRT(1-'Bulk Calculator'!M4^2)))/'Bulk Calculator'!J4/'Bulk Calculator'!K4*100,D13*'Bulk Calculator'!U4*'Bulk Calculator'!O4/'Bulk Calculator'!J4/'Bulk Calculator'!K4*100),"")</f>
        <v>0</v>
      </c>
      <c r="K13">
        <f>IFERROR(G13*B13*'Bulk Calculator'!J4/SQRT('Bulk Calculator'!S4)/1000,"")</f>
        <v>0</v>
      </c>
      <c r="L13">
        <f>IF(OR('Bulk Calculator'!R4="",'Bulk Calculator'!S4="",G13=""),0,IF(K13&gt;='Bulk Calculator'!R4,1,0))</f>
        <v>0</v>
      </c>
      <c r="M13">
        <f>IF(AND(H13=1,I13&lt;='OS-DORAEN'!$B$6,J13&lt;='OS-DORAEN'!$B$5,L13=1),1,0)</f>
        <v>0</v>
      </c>
      <c r="N13" t="str">
        <f t="shared" si="0"/>
        <v>Manufacturer VD Ref</v>
      </c>
    </row>
    <row r="14" spans="1:14" ht="15" customHeight="1" x14ac:dyDescent="0.35">
      <c r="A14">
        <v>5</v>
      </c>
      <c r="B14">
        <v>400</v>
      </c>
      <c r="C14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Master'!$F:$F,B14),"")</f>
        <v>530</v>
      </c>
      <c r="D14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Master'!$F:$F,B14),"")</f>
        <v>0.1023</v>
      </c>
      <c r="E14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Master'!$F:$F,B14),"")</f>
        <v>0.1023</v>
      </c>
      <c r="F14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Master'!$F:$F,B14),"")</f>
        <v>7.0000000000000007E-2</v>
      </c>
      <c r="G14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Master'!$F:$F,B14),"")</f>
        <v>143</v>
      </c>
      <c r="H14">
        <f>IF(AND(ISNUMBER(C14),C14&gt;='Bulk Calculator'!U5/('Bulk Calculator'!J5*'Bulk Calculator'!L5)),1,0)</f>
        <v>1</v>
      </c>
      <c r="I14">
        <f>IFERROR(IF(AND(ISNUMBER(E14),ISNUMBER(F14),E14&gt;0,F14&gt;0),SQRT(3)*'Bulk Calculator'!O5*'Bulk Calculator'!AA5*((E14*'Bulk Calculator'!Q5)+(F14*SQRT(1-'Bulk Calculator'!Q5^2)))/'Bulk Calculator'!J5/'Bulk Calculator'!K5*100,D14*'Bulk Calculator'!AA5*'Bulk Calculator'!O5/'Bulk Calculator'!J5/'Bulk Calculator'!K5*100),"")</f>
        <v>3.4545676980933845E-2</v>
      </c>
      <c r="J14">
        <f>IFERROR(IF(AND(ISNUMBER(E14),ISNUMBER(F14),E14&gt;0,F14&gt;0),SQRT(3)*'Bulk Calculator'!O5*'Bulk Calculator'!U5*((E14*'Bulk Calculator'!M5)+(F14*SQRT(1-'Bulk Calculator'!M5^2)))/'Bulk Calculator'!J5/'Bulk Calculator'!K5*100,D14*'Bulk Calculator'!U5*'Bulk Calculator'!O5/'Bulk Calculator'!J5/'Bulk Calculator'!K5*100),"")</f>
        <v>2.926008449474897E-2</v>
      </c>
      <c r="K14">
        <f>IFERROR(G14*B14*'Bulk Calculator'!J5/SQRT('Bulk Calculator'!S5)/1000,"")</f>
        <v>114.4</v>
      </c>
      <c r="L14">
        <f>IF(OR('Bulk Calculator'!R5="",'Bulk Calculator'!S5="",G14=""),0,IF(K14&gt;='Bulk Calculator'!R5,1,0))</f>
        <v>1</v>
      </c>
      <c r="M14">
        <f>IF(AND(H14=1,I14&lt;='OS-DORAEN'!$B$6,J14&lt;='OS-DORAEN'!$B$5,L14=1),1,0)</f>
        <v>1</v>
      </c>
      <c r="N14" t="str">
        <f t="shared" si="0"/>
        <v>R/X</v>
      </c>
    </row>
    <row r="15" spans="1:14" ht="15" customHeight="1" x14ac:dyDescent="0.35">
      <c r="A15">
        <v>5</v>
      </c>
      <c r="B15">
        <v>300</v>
      </c>
      <c r="C15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Master'!$F:$F,B15),"")</f>
        <v>455</v>
      </c>
      <c r="D15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Master'!$F:$F,B15),"")</f>
        <v>0.13</v>
      </c>
      <c r="E15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Master'!$F:$F,B15),"")</f>
        <v>0.13</v>
      </c>
      <c r="F15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Master'!$F:$F,B15),"")</f>
        <v>7.0999999999999994E-2</v>
      </c>
      <c r="G15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Master'!$F:$F,B15),"")</f>
        <v>143</v>
      </c>
      <c r="H15">
        <f>IF(AND(ISNUMBER(C15),C15&gt;='Bulk Calculator'!U5/('Bulk Calculator'!J5*'Bulk Calculator'!L5)),1,0)</f>
        <v>1</v>
      </c>
      <c r="I15">
        <f>IFERROR(IF(AND(ISNUMBER(E15),ISNUMBER(F15),E15&gt;0,F15&gt;0),SQRT(3)*'Bulk Calculator'!O5*'Bulk Calculator'!AA5*((E15*'Bulk Calculator'!Q5)+(F15*SQRT(1-'Bulk Calculator'!Q5^2)))/'Bulk Calculator'!J5/'Bulk Calculator'!K5*100,D15*'Bulk Calculator'!AA5*'Bulk Calculator'!O5/'Bulk Calculator'!J5/'Bulk Calculator'!K5*100),"")</f>
        <v>3.7829179858595997E-2</v>
      </c>
      <c r="J15">
        <f>IFERROR(IF(AND(ISNUMBER(E15),ISNUMBER(F15),E15&gt;0,F15&gt;0),SQRT(3)*'Bulk Calculator'!O5*'Bulk Calculator'!U5*((E15*'Bulk Calculator'!M5)+(F15*SQRT(1-'Bulk Calculator'!M5^2)))/'Bulk Calculator'!J5/'Bulk Calculator'!K5*100,D15*'Bulk Calculator'!U5*'Bulk Calculator'!O5/'Bulk Calculator'!J5/'Bulk Calculator'!K5*100),"")</f>
        <v>3.4948072869661367E-2</v>
      </c>
      <c r="K15">
        <f>IFERROR(G15*B15*'Bulk Calculator'!J5/SQRT('Bulk Calculator'!S5)/1000,"")</f>
        <v>85.8</v>
      </c>
      <c r="L15">
        <f>IF(OR('Bulk Calculator'!R5="",'Bulk Calculator'!S5="",G15=""),0,IF(K15&gt;='Bulk Calculator'!R5,1,0))</f>
        <v>1</v>
      </c>
      <c r="M15">
        <f>IF(AND(H15=1,I15&lt;='OS-DORAEN'!$B$6,J15&lt;='OS-DORAEN'!$B$5,L15=1),1,0)</f>
        <v>1</v>
      </c>
      <c r="N15" t="str">
        <f t="shared" si="0"/>
        <v>R/X</v>
      </c>
    </row>
    <row r="16" spans="1:14" ht="15" customHeight="1" x14ac:dyDescent="0.35">
      <c r="A16">
        <v>5</v>
      </c>
      <c r="B16">
        <v>240</v>
      </c>
      <c r="C16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Master'!$F:$F,B16),"")</f>
        <v>399</v>
      </c>
      <c r="D16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Master'!$F:$F,B16),"")</f>
        <v>0.16200000000000001</v>
      </c>
      <c r="E16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Master'!$F:$F,B16),"")</f>
        <v>0.16200000000000001</v>
      </c>
      <c r="F16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Master'!$F:$F,B16),"")</f>
        <v>7.1999999999999995E-2</v>
      </c>
      <c r="G16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Master'!$F:$F,B16),"")</f>
        <v>143</v>
      </c>
      <c r="H16">
        <f>IF(AND(ISNUMBER(C16),C16&gt;='Bulk Calculator'!U5/('Bulk Calculator'!J5*'Bulk Calculator'!L5)),1,0)</f>
        <v>1</v>
      </c>
      <c r="I16">
        <f>IFERROR(IF(AND(ISNUMBER(E16),ISNUMBER(F16),E16&gt;0,F16&gt;0),SQRT(3)*'Bulk Calculator'!O5*'Bulk Calculator'!AA5*((E16*'Bulk Calculator'!Q5)+(F16*SQRT(1-'Bulk Calculator'!Q5^2)))/'Bulk Calculator'!J5/'Bulk Calculator'!K5*100,D16*'Bulk Calculator'!AA5*'Bulk Calculator'!O5/'Bulk Calculator'!J5/'Bulk Calculator'!K5*100),"")</f>
        <v>4.1569909259456417E-2</v>
      </c>
      <c r="J16">
        <f>IFERROR(IF(AND(ISNUMBER(E16),ISNUMBER(F16),E16&gt;0,F16&gt;0),SQRT(3)*'Bulk Calculator'!O5*'Bulk Calculator'!U5*((E16*'Bulk Calculator'!M5)+(F16*SQRT(1-'Bulk Calculator'!M5^2)))/'Bulk Calculator'!J5/'Bulk Calculator'!K5*100,D16*'Bulk Calculator'!U5*'Bulk Calculator'!O5/'Bulk Calculator'!J5/'Bulk Calculator'!K5*100),"")</f>
        <v>4.1499711343948316E-2</v>
      </c>
      <c r="K16">
        <f>IFERROR(G16*B16*'Bulk Calculator'!J5/SQRT('Bulk Calculator'!S5)/1000,"")</f>
        <v>68.64</v>
      </c>
      <c r="L16">
        <f>IF(OR('Bulk Calculator'!R5="",'Bulk Calculator'!S5="",G16=""),0,IF(K16&gt;='Bulk Calculator'!R5,1,0))</f>
        <v>1</v>
      </c>
      <c r="M16">
        <f>IF(AND(H16=1,I16&lt;='OS-DORAEN'!$B$6,J16&lt;='OS-DORAEN'!$B$5,L16=1),1,0)</f>
        <v>1</v>
      </c>
      <c r="N16" t="str">
        <f t="shared" si="0"/>
        <v>R/X</v>
      </c>
    </row>
    <row r="17" spans="1:14" ht="15" customHeight="1" x14ac:dyDescent="0.35">
      <c r="A17">
        <v>5</v>
      </c>
      <c r="B17">
        <v>185</v>
      </c>
      <c r="C17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Master'!$F:$F,B17),"")</f>
        <v>337</v>
      </c>
      <c r="D17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Master'!$F:$F,B17),"")</f>
        <v>0.21099999999999999</v>
      </c>
      <c r="E17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Master'!$F:$F,B17),"")</f>
        <v>0.21099999999999999</v>
      </c>
      <c r="F17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Master'!$F:$F,B17),"")</f>
        <v>7.1999999999999995E-2</v>
      </c>
      <c r="G17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Master'!$F:$F,B17),"")</f>
        <v>143</v>
      </c>
      <c r="H17">
        <f>IF(AND(ISNUMBER(C17),C17&gt;='Bulk Calculator'!U5/('Bulk Calculator'!J5*'Bulk Calculator'!L5)),1,0)</f>
        <v>1</v>
      </c>
      <c r="I17">
        <f>IFERROR(IF(AND(ISNUMBER(E17),ISNUMBER(F17),E17&gt;0,F17&gt;0),SQRT(3)*'Bulk Calculator'!O5*'Bulk Calculator'!AA5*((E17*'Bulk Calculator'!Q5)+(F17*SQRT(1-'Bulk Calculator'!Q5^2)))/'Bulk Calculator'!J5/'Bulk Calculator'!K5*100,D17*'Bulk Calculator'!AA5*'Bulk Calculator'!O5/'Bulk Calculator'!J5/'Bulk Calculator'!K5*100),"")</f>
        <v>4.6780164988925239E-2</v>
      </c>
      <c r="J17">
        <f>IFERROR(IF(AND(ISNUMBER(E17),ISNUMBER(F17),E17&gt;0,F17&gt;0),SQRT(3)*'Bulk Calculator'!O5*'Bulk Calculator'!U5*((E17*'Bulk Calculator'!M5)+(F17*SQRT(1-'Bulk Calculator'!M5^2)))/'Bulk Calculator'!J5/'Bulk Calculator'!K5*100,D17*'Bulk Calculator'!U5*'Bulk Calculator'!O5/'Bulk Calculator'!J5/'Bulk Calculator'!K5*100),"")</f>
        <v>5.1341305499611661E-2</v>
      </c>
      <c r="K17">
        <f>IFERROR(G17*B17*'Bulk Calculator'!J5/SQRT('Bulk Calculator'!S5)/1000,"")</f>
        <v>52.91</v>
      </c>
      <c r="L17">
        <f>IF(OR('Bulk Calculator'!R5="",'Bulk Calculator'!S5="",G17=""),0,IF(K17&gt;='Bulk Calculator'!R5,1,0))</f>
        <v>1</v>
      </c>
      <c r="M17">
        <f>IF(AND(H17=1,I17&lt;='OS-DORAEN'!$B$6,J17&lt;='OS-DORAEN'!$B$5,L17=1),1,0)</f>
        <v>1</v>
      </c>
      <c r="N17" t="str">
        <f t="shared" si="0"/>
        <v>R/X</v>
      </c>
    </row>
    <row r="18" spans="1:14" ht="15" customHeight="1" x14ac:dyDescent="0.35">
      <c r="A18">
        <v>5</v>
      </c>
      <c r="B18">
        <v>150</v>
      </c>
      <c r="C18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Master'!$F:$F,B18),"")</f>
        <v>292</v>
      </c>
      <c r="D18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Master'!$F:$F,B18),"")</f>
        <v>0.26500000000000001</v>
      </c>
      <c r="E18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Master'!$F:$F,B18),"")</f>
        <v>0.26500000000000001</v>
      </c>
      <c r="F18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Master'!$F:$F,B18),"")</f>
        <v>7.1999999999999995E-2</v>
      </c>
      <c r="G18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Master'!$F:$F,B18),"")</f>
        <v>143</v>
      </c>
      <c r="H18">
        <f>IF(AND(ISNUMBER(C18),C18&gt;='Bulk Calculator'!U5/('Bulk Calculator'!J5*'Bulk Calculator'!L5)),1,0)</f>
        <v>1</v>
      </c>
      <c r="I18">
        <f>IFERROR(IF(AND(ISNUMBER(E18),ISNUMBER(F18),E18&gt;0,F18&gt;0),SQRT(3)*'Bulk Calculator'!O5*'Bulk Calculator'!AA5*((E18*'Bulk Calculator'!Q5)+(F18*SQRT(1-'Bulk Calculator'!Q5^2)))/'Bulk Calculator'!J5/'Bulk Calculator'!K5*100,D18*'Bulk Calculator'!AA5*'Bulk Calculator'!O5/'Bulk Calculator'!J5/'Bulk Calculator'!K5*100),"")</f>
        <v>5.2522079466299054E-2</v>
      </c>
      <c r="J18">
        <f>IFERROR(IF(AND(ISNUMBER(E18),ISNUMBER(F18),E18&gt;0,F18&gt;0),SQRT(3)*'Bulk Calculator'!O5*'Bulk Calculator'!U5*((E18*'Bulk Calculator'!M5)+(F18*SQRT(1-'Bulk Calculator'!M5^2)))/'Bulk Calculator'!J5/'Bulk Calculator'!K5*100,D18*'Bulk Calculator'!U5*'Bulk Calculator'!O5/'Bulk Calculator'!J5/'Bulk Calculator'!K5*100),"")</f>
        <v>6.2187143956873303E-2</v>
      </c>
      <c r="K18">
        <f>IFERROR(G18*B18*'Bulk Calculator'!J5/SQRT('Bulk Calculator'!S5)/1000,"")</f>
        <v>42.9</v>
      </c>
      <c r="L18">
        <f>IF(OR('Bulk Calculator'!R5="",'Bulk Calculator'!S5="",G18=""),0,IF(K18&gt;='Bulk Calculator'!R5,1,0))</f>
        <v>1</v>
      </c>
      <c r="M18">
        <f>IF(AND(H18=1,I18&lt;='OS-DORAEN'!$B$6,J18&lt;='OS-DORAEN'!$B$5,L18=1),1,0)</f>
        <v>1</v>
      </c>
      <c r="N18" t="str">
        <f t="shared" si="0"/>
        <v>R/X</v>
      </c>
    </row>
    <row r="19" spans="1:14" ht="15" customHeight="1" x14ac:dyDescent="0.35">
      <c r="A19">
        <v>5</v>
      </c>
      <c r="B19">
        <v>120</v>
      </c>
      <c r="C19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Master'!$F:$F,B19),"")</f>
        <v>257</v>
      </c>
      <c r="D19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Master'!$F:$F,B19),"")</f>
        <v>0.32500000000000001</v>
      </c>
      <c r="E19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Master'!$F:$F,B19),"")</f>
        <v>0.32500000000000001</v>
      </c>
      <c r="F19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Master'!$F:$F,B19),"")</f>
        <v>7.1999999999999995E-2</v>
      </c>
      <c r="G19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Master'!$F:$F,B19),"")</f>
        <v>143</v>
      </c>
      <c r="H19">
        <f>IF(AND(ISNUMBER(C19),C19&gt;='Bulk Calculator'!U5/('Bulk Calculator'!J5*'Bulk Calculator'!L5)),1,0)</f>
        <v>1</v>
      </c>
      <c r="I19">
        <f>IFERROR(IF(AND(ISNUMBER(E19),ISNUMBER(F19),E19&gt;0,F19&gt;0),SQRT(3)*'Bulk Calculator'!O5*'Bulk Calculator'!AA5*((E19*'Bulk Calculator'!Q5)+(F19*SQRT(1-'Bulk Calculator'!Q5^2)))/'Bulk Calculator'!J5/'Bulk Calculator'!K5*100,D19*'Bulk Calculator'!AA5*'Bulk Calculator'!O5/'Bulk Calculator'!J5/'Bulk Calculator'!K5*100),"")</f>
        <v>5.890198444115885E-2</v>
      </c>
      <c r="J19">
        <f>IFERROR(IF(AND(ISNUMBER(E19),ISNUMBER(F19),E19&gt;0,F19&gt;0),SQRT(3)*'Bulk Calculator'!O5*'Bulk Calculator'!U5*((E19*'Bulk Calculator'!M5)+(F19*SQRT(1-'Bulk Calculator'!M5^2)))/'Bulk Calculator'!J5/'Bulk Calculator'!K5*100,D19*'Bulk Calculator'!U5*'Bulk Calculator'!O5/'Bulk Calculator'!J5/'Bulk Calculator'!K5*100),"")</f>
        <v>7.4238075576052914E-2</v>
      </c>
      <c r="K19">
        <f>IFERROR(G19*B19*'Bulk Calculator'!J5/SQRT('Bulk Calculator'!S5)/1000,"")</f>
        <v>34.32</v>
      </c>
      <c r="L19">
        <f>IF(OR('Bulk Calculator'!R5="",'Bulk Calculator'!S5="",G19=""),0,IF(K19&gt;='Bulk Calculator'!R5,1,0))</f>
        <v>1</v>
      </c>
      <c r="M19">
        <f>IF(AND(H19=1,I19&lt;='OS-DORAEN'!$B$6,J19&lt;='OS-DORAEN'!$B$5,L19=1),1,0)</f>
        <v>1</v>
      </c>
      <c r="N19" t="str">
        <f t="shared" si="0"/>
        <v>R/X</v>
      </c>
    </row>
    <row r="20" spans="1:14" ht="15" customHeight="1" x14ac:dyDescent="0.35">
      <c r="A20">
        <v>5</v>
      </c>
      <c r="B20">
        <v>95</v>
      </c>
      <c r="C20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Master'!$F:$F,B20),"")</f>
        <v>221</v>
      </c>
      <c r="D20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Master'!$F:$F,B20),"")</f>
        <v>0.41</v>
      </c>
      <c r="E20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Master'!$F:$F,B20),"")</f>
        <v>0.41</v>
      </c>
      <c r="F20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Master'!$F:$F,B20),"")</f>
        <v>7.3999999999999996E-2</v>
      </c>
      <c r="G20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Master'!$F:$F,B20),"")</f>
        <v>143</v>
      </c>
      <c r="H20">
        <f>IF(AND(ISNUMBER(C20),C20&gt;='Bulk Calculator'!U5/('Bulk Calculator'!J5*'Bulk Calculator'!L5)),1,0)</f>
        <v>1</v>
      </c>
      <c r="I20">
        <f>IFERROR(IF(AND(ISNUMBER(E20),ISNUMBER(F20),E20&gt;0,F20&gt;0),SQRT(3)*'Bulk Calculator'!O5*'Bulk Calculator'!AA5*((E20*'Bulk Calculator'!Q5)+(F20*SQRT(1-'Bulk Calculator'!Q5^2)))/'Bulk Calculator'!J5/'Bulk Calculator'!K5*100,D20*'Bulk Calculator'!AA5*'Bulk Calculator'!O5/'Bulk Calculator'!J5/'Bulk Calculator'!K5*100),"")</f>
        <v>6.8616409984080626E-2</v>
      </c>
      <c r="J20">
        <f>IFERROR(IF(AND(ISNUMBER(E20),ISNUMBER(F20),E20&gt;0,F20&gt;0),SQRT(3)*'Bulk Calculator'!O5*'Bulk Calculator'!U5*((E20*'Bulk Calculator'!M5)+(F20*SQRT(1-'Bulk Calculator'!M5^2)))/'Bulk Calculator'!J5/'Bulk Calculator'!K5*100,D20*'Bulk Calculator'!U5*'Bulk Calculator'!O5/'Bulk Calculator'!J5/'Bulk Calculator'!K5*100),"")</f>
        <v>9.1559178591339649E-2</v>
      </c>
      <c r="K20">
        <f>IFERROR(G20*B20*'Bulk Calculator'!J5/SQRT('Bulk Calculator'!S5)/1000,"")</f>
        <v>27.17</v>
      </c>
      <c r="L20">
        <f>IF(OR('Bulk Calculator'!R5="",'Bulk Calculator'!S5="",G20=""),0,IF(K20&gt;='Bulk Calculator'!R5,1,0))</f>
        <v>1</v>
      </c>
      <c r="M20">
        <f>IF(AND(H20=1,I20&lt;='OS-DORAEN'!$B$6,J20&lt;='OS-DORAEN'!$B$5,L20=1),1,0)</f>
        <v>1</v>
      </c>
      <c r="N20" t="str">
        <f t="shared" si="0"/>
        <v>R/X</v>
      </c>
    </row>
    <row r="21" spans="1:14" ht="15" customHeight="1" x14ac:dyDescent="0.35">
      <c r="A21">
        <v>5</v>
      </c>
      <c r="B21">
        <v>70</v>
      </c>
      <c r="C21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Master'!$F:$F,B21),"")</f>
        <v>179</v>
      </c>
      <c r="D21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Master'!$F:$F,B21),"")</f>
        <v>0.56699999999999995</v>
      </c>
      <c r="E21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Master'!$F:$F,B21),"")</f>
        <v>0.56699999999999995</v>
      </c>
      <c r="F21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Master'!$F:$F,B21),"")</f>
        <v>7.6999999999999999E-2</v>
      </c>
      <c r="G21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Master'!$F:$F,B21),"")</f>
        <v>143</v>
      </c>
      <c r="H21">
        <f>IF(AND(ISNUMBER(C21),C21&gt;='Bulk Calculator'!U5/('Bulk Calculator'!J5*'Bulk Calculator'!L5)),1,0)</f>
        <v>1</v>
      </c>
      <c r="I21">
        <f>IFERROR(IF(AND(ISNUMBER(E21),ISNUMBER(F21),E21&gt;0,F21&gt;0),SQRT(3)*'Bulk Calculator'!O5*'Bulk Calculator'!AA5*((E21*'Bulk Calculator'!Q5)+(F21*SQRT(1-'Bulk Calculator'!Q5^2)))/'Bulk Calculator'!J5/'Bulk Calculator'!K5*100,D21*'Bulk Calculator'!AA5*'Bulk Calculator'!O5/'Bulk Calculator'!J5/'Bulk Calculator'!K5*100),"")</f>
        <v>8.6324834911102696E-2</v>
      </c>
      <c r="J21">
        <f>IFERROR(IF(AND(ISNUMBER(E21),ISNUMBER(F21),E21&gt;0,F21&gt;0),SQRT(3)*'Bulk Calculator'!O5*'Bulk Calculator'!U5*((E21*'Bulk Calculator'!M5)+(F21*SQRT(1-'Bulk Calculator'!M5^2)))/'Bulk Calculator'!J5/'Bulk Calculator'!K5*100,D21*'Bulk Calculator'!U5*'Bulk Calculator'!O5/'Bulk Calculator'!J5/'Bulk Calculator'!K5*100),"")</f>
        <v>0.12346587449369974</v>
      </c>
      <c r="K21">
        <f>IFERROR(G21*B21*'Bulk Calculator'!J5/SQRT('Bulk Calculator'!S5)/1000,"")</f>
        <v>20.02</v>
      </c>
      <c r="L21">
        <f>IF(OR('Bulk Calculator'!R5="",'Bulk Calculator'!S5="",G21=""),0,IF(K21&gt;='Bulk Calculator'!R5,1,0))</f>
        <v>1</v>
      </c>
      <c r="M21">
        <f>IF(AND(H21=1,I21&lt;='OS-DORAEN'!$B$6,J21&lt;='OS-DORAEN'!$B$5,L21=1),1,0)</f>
        <v>1</v>
      </c>
      <c r="N21" t="str">
        <f t="shared" si="0"/>
        <v>R/X</v>
      </c>
    </row>
    <row r="22" spans="1:14" ht="15" customHeight="1" x14ac:dyDescent="0.35">
      <c r="A22">
        <v>5</v>
      </c>
      <c r="B22">
        <v>50</v>
      </c>
      <c r="C22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Master'!$F:$F,B22),"")</f>
        <v>142</v>
      </c>
      <c r="D22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Master'!$F:$F,B22),"")</f>
        <v>0.82</v>
      </c>
      <c r="E22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Master'!$F:$F,B22),"")</f>
        <v>0.82</v>
      </c>
      <c r="F22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Master'!$F:$F,B22),"")</f>
        <v>7.8E-2</v>
      </c>
      <c r="G22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Master'!$F:$F,B22),"")</f>
        <v>143</v>
      </c>
      <c r="H22">
        <f>IF(AND(ISNUMBER(C22),C22&gt;='Bulk Calculator'!U5/('Bulk Calculator'!J5*'Bulk Calculator'!L5)),1,0)</f>
        <v>1</v>
      </c>
      <c r="I22">
        <f>IFERROR(IF(AND(ISNUMBER(E22),ISNUMBER(F22),E22&gt;0,F22&gt;0),SQRT(3)*'Bulk Calculator'!O5*'Bulk Calculator'!AA5*((E22*'Bulk Calculator'!Q5)+(F22*SQRT(1-'Bulk Calculator'!Q5^2)))/'Bulk Calculator'!J5/'Bulk Calculator'!K5*100,D22*'Bulk Calculator'!AA5*'Bulk Calculator'!O5/'Bulk Calculator'!J5/'Bulk Calculator'!K5*100),"")</f>
        <v>0.11356488096936335</v>
      </c>
      <c r="J22">
        <f>IFERROR(IF(AND(ISNUMBER(E22),ISNUMBER(F22),E22&gt;0,F22&gt;0),SQRT(3)*'Bulk Calculator'!O5*'Bulk Calculator'!U5*((E22*'Bulk Calculator'!M5)+(F22*SQRT(1-'Bulk Calculator'!M5^2)))/'Bulk Calculator'!J5/'Bulk Calculator'!K5*100,D22*'Bulk Calculator'!U5*'Bulk Calculator'!O5/'Bulk Calculator'!J5/'Bulk Calculator'!K5*100),"")</f>
        <v>0.17440511109863158</v>
      </c>
      <c r="K22">
        <f>IFERROR(G22*B22*'Bulk Calculator'!J5/SQRT('Bulk Calculator'!S5)/1000,"")</f>
        <v>14.3</v>
      </c>
      <c r="L22">
        <f>IF(OR('Bulk Calculator'!R5="",'Bulk Calculator'!S5="",G22=""),0,IF(K22&gt;='Bulk Calculator'!R5,1,0))</f>
        <v>1</v>
      </c>
      <c r="M22">
        <f>IF(AND(H22=1,I22&lt;='OS-DORAEN'!$B$6,J22&lt;='OS-DORAEN'!$B$5,L22=1),1,0)</f>
        <v>1</v>
      </c>
      <c r="N22" t="str">
        <f t="shared" si="0"/>
        <v>R/X</v>
      </c>
    </row>
    <row r="23" spans="1:14" ht="15" customHeight="1" x14ac:dyDescent="0.35">
      <c r="A23">
        <v>5</v>
      </c>
      <c r="B23">
        <v>35</v>
      </c>
      <c r="C23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Master'!$F:$F,B23),"")</f>
        <v>117</v>
      </c>
      <c r="D23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Master'!$F:$F,B23),"")</f>
        <v>1.1100000000000001</v>
      </c>
      <c r="E23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Master'!$F:$F,B23),"")</f>
        <v>1.1100000000000001</v>
      </c>
      <c r="F23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Master'!$F:$F,B23),"")</f>
        <v>0.08</v>
      </c>
      <c r="G23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Master'!$F:$F,B23),"")</f>
        <v>143</v>
      </c>
      <c r="H23">
        <f>IF(AND(ISNUMBER(C23),C23&gt;='Bulk Calculator'!U5/('Bulk Calculator'!J5*'Bulk Calculator'!L5)),1,0)</f>
        <v>1</v>
      </c>
      <c r="I23">
        <f>IFERROR(IF(AND(ISNUMBER(E23),ISNUMBER(F23),E23&gt;0,F23&gt;0),SQRT(3)*'Bulk Calculator'!O5*'Bulk Calculator'!AA5*((E23*'Bulk Calculator'!Q5)+(F23*SQRT(1-'Bulk Calculator'!Q5^2)))/'Bulk Calculator'!J5/'Bulk Calculator'!K5*100,D23*'Bulk Calculator'!AA5*'Bulk Calculator'!O5/'Bulk Calculator'!J5/'Bulk Calculator'!K5*100),"")</f>
        <v>0.14507731517638944</v>
      </c>
      <c r="J23">
        <f>IFERROR(IF(AND(ISNUMBER(E23),ISNUMBER(F23),E23&gt;0,F23&gt;0),SQRT(3)*'Bulk Calculator'!O5*'Bulk Calculator'!U5*((E23*'Bulk Calculator'!M5)+(F23*SQRT(1-'Bulk Calculator'!M5^2)))/'Bulk Calculator'!J5/'Bulk Calculator'!K5*100,D23*'Bulk Calculator'!U5*'Bulk Calculator'!O5/'Bulk Calculator'!J5/'Bulk Calculator'!K5*100),"")</f>
        <v>0.23290023047944866</v>
      </c>
      <c r="K23">
        <f>IFERROR(G23*B23*'Bulk Calculator'!J5/SQRT('Bulk Calculator'!S5)/1000,"")</f>
        <v>10.01</v>
      </c>
      <c r="L23">
        <f>IF(OR('Bulk Calculator'!R5="",'Bulk Calculator'!S5="",G23=""),0,IF(K23&gt;='Bulk Calculator'!R5,1,0))</f>
        <v>1</v>
      </c>
      <c r="M23">
        <f>IF(AND(H23=1,I23&lt;='OS-DORAEN'!$B$6,J23&lt;='OS-DORAEN'!$B$5,L23=1),1,0)</f>
        <v>1</v>
      </c>
      <c r="N23" t="str">
        <f t="shared" si="0"/>
        <v>R/X</v>
      </c>
    </row>
    <row r="24" spans="1:14" ht="15" customHeight="1" x14ac:dyDescent="0.35">
      <c r="A24">
        <v>5</v>
      </c>
      <c r="B24">
        <v>25</v>
      </c>
      <c r="C24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Master'!$F:$F,B24),"")</f>
        <v>96</v>
      </c>
      <c r="D24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Master'!$F:$F,B24),"")</f>
        <v>1.54</v>
      </c>
      <c r="E24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Master'!$F:$F,B24),"")</f>
        <v>1.54</v>
      </c>
      <c r="F24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Master'!$F:$F,B24),"")</f>
        <v>0.08</v>
      </c>
      <c r="G24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Master'!$F:$F,B24),"")</f>
        <v>143</v>
      </c>
      <c r="H24">
        <f>IF(AND(ISNUMBER(C24),C24&gt;='Bulk Calculator'!U5/('Bulk Calculator'!J5*'Bulk Calculator'!L5)),1,0)</f>
        <v>1</v>
      </c>
      <c r="I24">
        <f>IFERROR(IF(AND(ISNUMBER(E24),ISNUMBER(F24),E24&gt;0,F24&gt;0),SQRT(3)*'Bulk Calculator'!O5*'Bulk Calculator'!AA5*((E24*'Bulk Calculator'!Q5)+(F24*SQRT(1-'Bulk Calculator'!Q5^2)))/'Bulk Calculator'!J5/'Bulk Calculator'!K5*100,D24*'Bulk Calculator'!AA5*'Bulk Calculator'!O5/'Bulk Calculator'!J5/'Bulk Calculator'!K5*100),"")</f>
        <v>0.19079996749621791</v>
      </c>
      <c r="J24">
        <f>IFERROR(IF(AND(ISNUMBER(E24),ISNUMBER(F24),E24&gt;0,F24&gt;0),SQRT(3)*'Bulk Calculator'!O5*'Bulk Calculator'!U5*((E24*'Bulk Calculator'!M5)+(F24*SQRT(1-'Bulk Calculator'!M5^2)))/'Bulk Calculator'!J5/'Bulk Calculator'!K5*100,D24*'Bulk Calculator'!U5*'Bulk Calculator'!O5/'Bulk Calculator'!J5/'Bulk Calculator'!K5*100),"")</f>
        <v>0.31926524041690252</v>
      </c>
      <c r="K24">
        <f>IFERROR(G24*B24*'Bulk Calculator'!J5/SQRT('Bulk Calculator'!S5)/1000,"")</f>
        <v>7.15</v>
      </c>
      <c r="L24">
        <f>IF(OR('Bulk Calculator'!R5="",'Bulk Calculator'!S5="",G24=""),0,IF(K24&gt;='Bulk Calculator'!R5,1,0))</f>
        <v>1</v>
      </c>
      <c r="M24">
        <f>IF(AND(H24=1,I24&lt;='OS-DORAEN'!$B$6,J24&lt;='OS-DORAEN'!$B$5,L24=1),1,0)</f>
        <v>1</v>
      </c>
      <c r="N24" t="str">
        <f t="shared" si="0"/>
        <v>R/X</v>
      </c>
    </row>
    <row r="25" spans="1:14" ht="15" customHeight="1" x14ac:dyDescent="0.35">
      <c r="A25">
        <v>5</v>
      </c>
      <c r="B25">
        <v>16</v>
      </c>
      <c r="C25">
        <f>IFERROR(SUMIFS('Cable Data Master'!$G:$G,'Cable Data Master'!$A:$A,'Bulk Calculator'!$BF5,'Cable Data Master'!$B:$B,'Bulk Calculator'!$BG5,'Cable Data Master'!$C:$C,'Bulk Calculator'!$BH5,'Cable Data Master'!$D:$D,'Bulk Calculator'!$BI5,'Cable Data Master'!$E:$E,'Bulk Calculator'!$BJ5,'Cable Data Master'!$F:$F,B25),"")</f>
        <v>0</v>
      </c>
      <c r="D25">
        <f>IFERROR(SUMIFS('Cable Data Master'!$K:$K,'Cable Data Master'!$A:$A,'Bulk Calculator'!$BF5,'Cable Data Master'!$B:$B,'Bulk Calculator'!$BG5,'Cable Data Master'!$C:$C,'Bulk Calculator'!$BH5,'Cable Data Master'!$D:$D,'Bulk Calculator'!$BI5,'Cable Data Master'!$E:$E,'Bulk Calculator'!$BJ5,'Cable Data Master'!$F:$F,B25),"")</f>
        <v>0</v>
      </c>
      <c r="E25">
        <f>IFERROR(SUMIFS('Cable Data Master'!$H:$H,'Cable Data Master'!$A:$A,'Bulk Calculator'!$BF5,'Cable Data Master'!$B:$B,'Bulk Calculator'!$BG5,'Cable Data Master'!$C:$C,'Bulk Calculator'!$BH5,'Cable Data Master'!$D:$D,'Bulk Calculator'!$BI5,'Cable Data Master'!$E:$E,'Bulk Calculator'!$BJ5,'Cable Data Master'!$F:$F,B25),"")</f>
        <v>0</v>
      </c>
      <c r="F25">
        <f>IFERROR(SUMIFS('Cable Data Master'!$I:$I,'Cable Data Master'!$A:$A,'Bulk Calculator'!$BF5,'Cable Data Master'!$B:$B,'Bulk Calculator'!$BG5,'Cable Data Master'!$C:$C,'Bulk Calculator'!$BH5,'Cable Data Master'!$D:$D,'Bulk Calculator'!$BI5,'Cable Data Master'!$E:$E,'Bulk Calculator'!$BJ5,'Cable Data Master'!$F:$F,B25),"")</f>
        <v>0</v>
      </c>
      <c r="G25">
        <f>IFERROR(SUMIFS('Cable Data Master'!$J:$J,'Cable Data Master'!$A:$A,'Bulk Calculator'!$BF5,'Cable Data Master'!$B:$B,'Bulk Calculator'!$BG5,'Cable Data Master'!$C:$C,'Bulk Calculator'!$BH5,'Cable Data Master'!$D:$D,'Bulk Calculator'!$BI5,'Cable Data Master'!$E:$E,'Bulk Calculator'!$BJ5,'Cable Data Master'!$F:$F,B25),"")</f>
        <v>0</v>
      </c>
      <c r="H25">
        <f>IF(AND(ISNUMBER(C25),C25&gt;='Bulk Calculator'!U5/('Bulk Calculator'!J5*'Bulk Calculator'!L5)),1,0)</f>
        <v>0</v>
      </c>
      <c r="I25">
        <f>IFERROR(IF(AND(ISNUMBER(E25),ISNUMBER(F25),E25&gt;0,F25&gt;0),SQRT(3)*'Bulk Calculator'!O5*'Bulk Calculator'!AA5*((E25*'Bulk Calculator'!Q5)+(F25*SQRT(1-'Bulk Calculator'!Q5^2)))/'Bulk Calculator'!J5/'Bulk Calculator'!K5*100,D25*'Bulk Calculator'!AA5*'Bulk Calculator'!O5/'Bulk Calculator'!J5/'Bulk Calculator'!K5*100),"")</f>
        <v>0</v>
      </c>
      <c r="J25">
        <f>IFERROR(IF(AND(ISNUMBER(E25),ISNUMBER(F25),E25&gt;0,F25&gt;0),SQRT(3)*'Bulk Calculator'!O5*'Bulk Calculator'!U5*((E25*'Bulk Calculator'!M5)+(F25*SQRT(1-'Bulk Calculator'!M5^2)))/'Bulk Calculator'!J5/'Bulk Calculator'!K5*100,D25*'Bulk Calculator'!U5*'Bulk Calculator'!O5/'Bulk Calculator'!J5/'Bulk Calculator'!K5*100),"")</f>
        <v>0</v>
      </c>
      <c r="K25">
        <f>IFERROR(G25*B25*'Bulk Calculator'!J5/SQRT('Bulk Calculator'!S5)/1000,"")</f>
        <v>0</v>
      </c>
      <c r="L25">
        <f>IF(OR('Bulk Calculator'!R5="",'Bulk Calculator'!S5="",G25=""),0,IF(K25&gt;='Bulk Calculator'!R5,1,0))</f>
        <v>0</v>
      </c>
      <c r="M25">
        <f>IF(AND(H25=1,I25&lt;='OS-DORAEN'!$B$6,J25&lt;='OS-DORAEN'!$B$5,L25=1),1,0)</f>
        <v>0</v>
      </c>
      <c r="N25" t="str">
        <f t="shared" si="0"/>
        <v>Manufacturer VD Ref</v>
      </c>
    </row>
    <row r="26" spans="1:14" ht="15" customHeight="1" x14ac:dyDescent="0.35">
      <c r="A26">
        <v>6</v>
      </c>
      <c r="B26">
        <v>400</v>
      </c>
      <c r="C26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Master'!$F:$F,B26),"")</f>
        <v>530</v>
      </c>
      <c r="D26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Master'!$F:$F,B26),"")</f>
        <v>0.1023</v>
      </c>
      <c r="E26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Master'!$F:$F,B26),"")</f>
        <v>0.1023</v>
      </c>
      <c r="F26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Master'!$F:$F,B26),"")</f>
        <v>7.0000000000000007E-2</v>
      </c>
      <c r="G26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Master'!$F:$F,B26),"")</f>
        <v>143</v>
      </c>
      <c r="H26">
        <f>IF(AND(ISNUMBER(C26),C26&gt;='Bulk Calculator'!U6/('Bulk Calculator'!J6*'Bulk Calculator'!L6)),1,0)</f>
        <v>1</v>
      </c>
      <c r="I26">
        <f>IFERROR(IF(AND(ISNUMBER(E26),ISNUMBER(F26),E26&gt;0,F26&gt;0),SQRT(3)*'Bulk Calculator'!O6*'Bulk Calculator'!AA6*((E26*'Bulk Calculator'!Q6)+(F26*SQRT(1-'Bulk Calculator'!Q6^2)))/'Bulk Calculator'!J6/'Bulk Calculator'!K6*100,D26*'Bulk Calculator'!AA6*'Bulk Calculator'!O6/'Bulk Calculator'!J6/'Bulk Calculator'!K6*100),"")</f>
        <v>0.17272838490466924</v>
      </c>
      <c r="J26">
        <f>IFERROR(IF(AND(ISNUMBER(E26),ISNUMBER(F26),E26&gt;0,F26&gt;0),SQRT(3)*'Bulk Calculator'!O6*'Bulk Calculator'!U6*((E26*'Bulk Calculator'!M6)+(F26*SQRT(1-'Bulk Calculator'!M6^2)))/'Bulk Calculator'!J6/'Bulk Calculator'!K6*100,D26*'Bulk Calculator'!U6*'Bulk Calculator'!O6/'Bulk Calculator'!J6/'Bulk Calculator'!K6*100),"")</f>
        <v>0.14630042247374483</v>
      </c>
      <c r="K26">
        <f>IFERROR(G26*B26*'Bulk Calculator'!J6/SQRT('Bulk Calculator'!S6)/1000,"")</f>
        <v>114.4</v>
      </c>
      <c r="L26">
        <f>IF(OR('Bulk Calculator'!R6="",'Bulk Calculator'!S6="",G26=""),0,IF(K26&gt;='Bulk Calculator'!R6,1,0))</f>
        <v>1</v>
      </c>
      <c r="M26">
        <f>IF(AND(H26=1,I26&lt;='OS-DORAEN'!$B$6,J26&lt;='OS-DORAEN'!$B$5,L26=1),1,0)</f>
        <v>1</v>
      </c>
      <c r="N26" t="str">
        <f t="shared" si="0"/>
        <v>R/X</v>
      </c>
    </row>
    <row r="27" spans="1:14" ht="15" customHeight="1" x14ac:dyDescent="0.35">
      <c r="A27">
        <v>6</v>
      </c>
      <c r="B27">
        <v>300</v>
      </c>
      <c r="C27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Master'!$F:$F,B27),"")</f>
        <v>455</v>
      </c>
      <c r="D27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Master'!$F:$F,B27),"")</f>
        <v>0.13</v>
      </c>
      <c r="E27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Master'!$F:$F,B27),"")</f>
        <v>0.13</v>
      </c>
      <c r="F27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Master'!$F:$F,B27),"")</f>
        <v>7.0999999999999994E-2</v>
      </c>
      <c r="G27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Master'!$F:$F,B27),"")</f>
        <v>143</v>
      </c>
      <c r="H27">
        <f>IF(AND(ISNUMBER(C27),C27&gt;='Bulk Calculator'!U6/('Bulk Calculator'!J6*'Bulk Calculator'!L6)),1,0)</f>
        <v>1</v>
      </c>
      <c r="I27">
        <f>IFERROR(IF(AND(ISNUMBER(E27),ISNUMBER(F27),E27&gt;0,F27&gt;0),SQRT(3)*'Bulk Calculator'!O6*'Bulk Calculator'!AA6*((E27*'Bulk Calculator'!Q6)+(F27*SQRT(1-'Bulk Calculator'!Q6^2)))/'Bulk Calculator'!J6/'Bulk Calculator'!K6*100,D27*'Bulk Calculator'!AA6*'Bulk Calculator'!O6/'Bulk Calculator'!J6/'Bulk Calculator'!K6*100),"")</f>
        <v>0.18914589929297998</v>
      </c>
      <c r="J27">
        <f>IFERROR(IF(AND(ISNUMBER(E27),ISNUMBER(F27),E27&gt;0,F27&gt;0),SQRT(3)*'Bulk Calculator'!O6*'Bulk Calculator'!U6*((E27*'Bulk Calculator'!M6)+(F27*SQRT(1-'Bulk Calculator'!M6^2)))/'Bulk Calculator'!J6/'Bulk Calculator'!K6*100,D27*'Bulk Calculator'!U6*'Bulk Calculator'!O6/'Bulk Calculator'!J6/'Bulk Calculator'!K6*100),"")</f>
        <v>0.17474036434830686</v>
      </c>
      <c r="K27">
        <f>IFERROR(G27*B27*'Bulk Calculator'!J6/SQRT('Bulk Calculator'!S6)/1000,"")</f>
        <v>85.8</v>
      </c>
      <c r="L27">
        <f>IF(OR('Bulk Calculator'!R6="",'Bulk Calculator'!S6="",G27=""),0,IF(K27&gt;='Bulk Calculator'!R6,1,0))</f>
        <v>1</v>
      </c>
      <c r="M27">
        <f>IF(AND(H27=1,I27&lt;='OS-DORAEN'!$B$6,J27&lt;='OS-DORAEN'!$B$5,L27=1),1,0)</f>
        <v>1</v>
      </c>
      <c r="N27" t="str">
        <f t="shared" si="0"/>
        <v>R/X</v>
      </c>
    </row>
    <row r="28" spans="1:14" ht="15" customHeight="1" x14ac:dyDescent="0.35">
      <c r="A28">
        <v>6</v>
      </c>
      <c r="B28">
        <v>240</v>
      </c>
      <c r="C28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Master'!$F:$F,B28),"")</f>
        <v>399</v>
      </c>
      <c r="D28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Master'!$F:$F,B28),"")</f>
        <v>0.16200000000000001</v>
      </c>
      <c r="E28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Master'!$F:$F,B28),"")</f>
        <v>0.16200000000000001</v>
      </c>
      <c r="F28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Master'!$F:$F,B28),"")</f>
        <v>7.1999999999999995E-2</v>
      </c>
      <c r="G28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Master'!$F:$F,B28),"")</f>
        <v>143</v>
      </c>
      <c r="H28">
        <f>IF(AND(ISNUMBER(C28),C28&gt;='Bulk Calculator'!U6/('Bulk Calculator'!J6*'Bulk Calculator'!L6)),1,0)</f>
        <v>1</v>
      </c>
      <c r="I28">
        <f>IFERROR(IF(AND(ISNUMBER(E28),ISNUMBER(F28),E28&gt;0,F28&gt;0),SQRT(3)*'Bulk Calculator'!O6*'Bulk Calculator'!AA6*((E28*'Bulk Calculator'!Q6)+(F28*SQRT(1-'Bulk Calculator'!Q6^2)))/'Bulk Calculator'!J6/'Bulk Calculator'!K6*100,D28*'Bulk Calculator'!AA6*'Bulk Calculator'!O6/'Bulk Calculator'!J6/'Bulk Calculator'!K6*100),"")</f>
        <v>0.20784954629728208</v>
      </c>
      <c r="J28">
        <f>IFERROR(IF(AND(ISNUMBER(E28),ISNUMBER(F28),E28&gt;0,F28&gt;0),SQRT(3)*'Bulk Calculator'!O6*'Bulk Calculator'!U6*((E28*'Bulk Calculator'!M6)+(F28*SQRT(1-'Bulk Calculator'!M6^2)))/'Bulk Calculator'!J6/'Bulk Calculator'!K6*100,D28*'Bulk Calculator'!U6*'Bulk Calculator'!O6/'Bulk Calculator'!J6/'Bulk Calculator'!K6*100),"")</f>
        <v>0.2074985567197416</v>
      </c>
      <c r="K28">
        <f>IFERROR(G28*B28*'Bulk Calculator'!J6/SQRT('Bulk Calculator'!S6)/1000,"")</f>
        <v>68.64</v>
      </c>
      <c r="L28">
        <f>IF(OR('Bulk Calculator'!R6="",'Bulk Calculator'!S6="",G28=""),0,IF(K28&gt;='Bulk Calculator'!R6,1,0))</f>
        <v>1</v>
      </c>
      <c r="M28">
        <f>IF(AND(H28=1,I28&lt;='OS-DORAEN'!$B$6,J28&lt;='OS-DORAEN'!$B$5,L28=1),1,0)</f>
        <v>1</v>
      </c>
      <c r="N28" t="str">
        <f t="shared" si="0"/>
        <v>R/X</v>
      </c>
    </row>
    <row r="29" spans="1:14" ht="15" customHeight="1" x14ac:dyDescent="0.35">
      <c r="A29">
        <v>6</v>
      </c>
      <c r="B29">
        <v>185</v>
      </c>
      <c r="C29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Master'!$F:$F,B29),"")</f>
        <v>337</v>
      </c>
      <c r="D29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Master'!$F:$F,B29),"")</f>
        <v>0.21099999999999999</v>
      </c>
      <c r="E29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Master'!$F:$F,B29),"")</f>
        <v>0.21099999999999999</v>
      </c>
      <c r="F29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Master'!$F:$F,B29),"")</f>
        <v>7.1999999999999995E-2</v>
      </c>
      <c r="G29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Master'!$F:$F,B29),"")</f>
        <v>143</v>
      </c>
      <c r="H29">
        <f>IF(AND(ISNUMBER(C29),C29&gt;='Bulk Calculator'!U6/('Bulk Calculator'!J6*'Bulk Calculator'!L6)),1,0)</f>
        <v>1</v>
      </c>
      <c r="I29">
        <f>IFERROR(IF(AND(ISNUMBER(E29),ISNUMBER(F29),E29&gt;0,F29&gt;0),SQRT(3)*'Bulk Calculator'!O6*'Bulk Calculator'!AA6*((E29*'Bulk Calculator'!Q6)+(F29*SQRT(1-'Bulk Calculator'!Q6^2)))/'Bulk Calculator'!J6/'Bulk Calculator'!K6*100,D29*'Bulk Calculator'!AA6*'Bulk Calculator'!O6/'Bulk Calculator'!J6/'Bulk Calculator'!K6*100),"")</f>
        <v>0.23390082494462622</v>
      </c>
      <c r="J29">
        <f>IFERROR(IF(AND(ISNUMBER(E29),ISNUMBER(F29),E29&gt;0,F29&gt;0),SQRT(3)*'Bulk Calculator'!O6*'Bulk Calculator'!U6*((E29*'Bulk Calculator'!M6)+(F29*SQRT(1-'Bulk Calculator'!M6^2)))/'Bulk Calculator'!J6/'Bulk Calculator'!K6*100,D29*'Bulk Calculator'!U6*'Bulk Calculator'!O6/'Bulk Calculator'!J6/'Bulk Calculator'!K6*100),"")</f>
        <v>0.25670652749805833</v>
      </c>
      <c r="K29">
        <f>IFERROR(G29*B29*'Bulk Calculator'!J6/SQRT('Bulk Calculator'!S6)/1000,"")</f>
        <v>52.91</v>
      </c>
      <c r="L29">
        <f>IF(OR('Bulk Calculator'!R6="",'Bulk Calculator'!S6="",G29=""),0,IF(K29&gt;='Bulk Calculator'!R6,1,0))</f>
        <v>1</v>
      </c>
      <c r="M29">
        <f>IF(AND(H29=1,I29&lt;='OS-DORAEN'!$B$6,J29&lt;='OS-DORAEN'!$B$5,L29=1),1,0)</f>
        <v>1</v>
      </c>
      <c r="N29" t="str">
        <f t="shared" si="0"/>
        <v>R/X</v>
      </c>
    </row>
    <row r="30" spans="1:14" ht="15" customHeight="1" x14ac:dyDescent="0.35">
      <c r="A30">
        <v>6</v>
      </c>
      <c r="B30">
        <v>150</v>
      </c>
      <c r="C30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Master'!$F:$F,B30),"")</f>
        <v>292</v>
      </c>
      <c r="D30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Master'!$F:$F,B30),"")</f>
        <v>0.26500000000000001</v>
      </c>
      <c r="E30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Master'!$F:$F,B30),"")</f>
        <v>0.26500000000000001</v>
      </c>
      <c r="F30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Master'!$F:$F,B30),"")</f>
        <v>7.1999999999999995E-2</v>
      </c>
      <c r="G30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Master'!$F:$F,B30),"")</f>
        <v>143</v>
      </c>
      <c r="H30">
        <f>IF(AND(ISNUMBER(C30),C30&gt;='Bulk Calculator'!U6/('Bulk Calculator'!J6*'Bulk Calculator'!L6)),1,0)</f>
        <v>1</v>
      </c>
      <c r="I30">
        <f>IFERROR(IF(AND(ISNUMBER(E30),ISNUMBER(F30),E30&gt;0,F30&gt;0),SQRT(3)*'Bulk Calculator'!O6*'Bulk Calculator'!AA6*((E30*'Bulk Calculator'!Q6)+(F30*SQRT(1-'Bulk Calculator'!Q6^2)))/'Bulk Calculator'!J6/'Bulk Calculator'!K6*100,D30*'Bulk Calculator'!AA6*'Bulk Calculator'!O6/'Bulk Calculator'!J6/'Bulk Calculator'!K6*100),"")</f>
        <v>0.26261039733149533</v>
      </c>
      <c r="J30">
        <f>IFERROR(IF(AND(ISNUMBER(E30),ISNUMBER(F30),E30&gt;0,F30&gt;0),SQRT(3)*'Bulk Calculator'!O6*'Bulk Calculator'!U6*((E30*'Bulk Calculator'!M6)+(F30*SQRT(1-'Bulk Calculator'!M6^2)))/'Bulk Calculator'!J6/'Bulk Calculator'!K6*100,D30*'Bulk Calculator'!U6*'Bulk Calculator'!O6/'Bulk Calculator'!J6/'Bulk Calculator'!K6*100),"")</f>
        <v>0.31093571978436657</v>
      </c>
      <c r="K30">
        <f>IFERROR(G30*B30*'Bulk Calculator'!J6/SQRT('Bulk Calculator'!S6)/1000,"")</f>
        <v>42.9</v>
      </c>
      <c r="L30">
        <f>IF(OR('Bulk Calculator'!R6="",'Bulk Calculator'!S6="",G30=""),0,IF(K30&gt;='Bulk Calculator'!R6,1,0))</f>
        <v>1</v>
      </c>
      <c r="M30">
        <f>IF(AND(H30=1,I30&lt;='OS-DORAEN'!$B$6,J30&lt;='OS-DORAEN'!$B$5,L30=1),1,0)</f>
        <v>1</v>
      </c>
      <c r="N30" t="str">
        <f t="shared" si="0"/>
        <v>R/X</v>
      </c>
    </row>
    <row r="31" spans="1:14" ht="15" customHeight="1" x14ac:dyDescent="0.35">
      <c r="A31">
        <v>6</v>
      </c>
      <c r="B31">
        <v>120</v>
      </c>
      <c r="C31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Master'!$F:$F,B31),"")</f>
        <v>257</v>
      </c>
      <c r="D31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Master'!$F:$F,B31),"")</f>
        <v>0.32500000000000001</v>
      </c>
      <c r="E31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Master'!$F:$F,B31),"")</f>
        <v>0.32500000000000001</v>
      </c>
      <c r="F31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Master'!$F:$F,B31),"")</f>
        <v>7.1999999999999995E-2</v>
      </c>
      <c r="G31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Master'!$F:$F,B31),"")</f>
        <v>143</v>
      </c>
      <c r="H31">
        <f>IF(AND(ISNUMBER(C31),C31&gt;='Bulk Calculator'!U6/('Bulk Calculator'!J6*'Bulk Calculator'!L6)),1,0)</f>
        <v>1</v>
      </c>
      <c r="I31">
        <f>IFERROR(IF(AND(ISNUMBER(E31),ISNUMBER(F31),E31&gt;0,F31&gt;0),SQRT(3)*'Bulk Calculator'!O6*'Bulk Calculator'!AA6*((E31*'Bulk Calculator'!Q6)+(F31*SQRT(1-'Bulk Calculator'!Q6^2)))/'Bulk Calculator'!J6/'Bulk Calculator'!K6*100,D31*'Bulk Calculator'!AA6*'Bulk Calculator'!O6/'Bulk Calculator'!J6/'Bulk Calculator'!K6*100),"")</f>
        <v>0.29450992220579425</v>
      </c>
      <c r="J31">
        <f>IFERROR(IF(AND(ISNUMBER(E31),ISNUMBER(F31),E31&gt;0,F31&gt;0),SQRT(3)*'Bulk Calculator'!O6*'Bulk Calculator'!U6*((E31*'Bulk Calculator'!M6)+(F31*SQRT(1-'Bulk Calculator'!M6^2)))/'Bulk Calculator'!J6/'Bulk Calculator'!K6*100,D31*'Bulk Calculator'!U6*'Bulk Calculator'!O6/'Bulk Calculator'!J6/'Bulk Calculator'!K6*100),"")</f>
        <v>0.37119037788026454</v>
      </c>
      <c r="K31">
        <f>IFERROR(G31*B31*'Bulk Calculator'!J6/SQRT('Bulk Calculator'!S6)/1000,"")</f>
        <v>34.32</v>
      </c>
      <c r="L31">
        <f>IF(OR('Bulk Calculator'!R6="",'Bulk Calculator'!S6="",G31=""),0,IF(K31&gt;='Bulk Calculator'!R6,1,0))</f>
        <v>1</v>
      </c>
      <c r="M31">
        <f>IF(AND(H31=1,I31&lt;='OS-DORAEN'!$B$6,J31&lt;='OS-DORAEN'!$B$5,L31=1),1,0)</f>
        <v>1</v>
      </c>
      <c r="N31" t="str">
        <f t="shared" si="0"/>
        <v>R/X</v>
      </c>
    </row>
    <row r="32" spans="1:14" ht="15" customHeight="1" x14ac:dyDescent="0.35">
      <c r="A32">
        <v>6</v>
      </c>
      <c r="B32">
        <v>95</v>
      </c>
      <c r="C32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Master'!$F:$F,B32),"")</f>
        <v>221</v>
      </c>
      <c r="D32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Master'!$F:$F,B32),"")</f>
        <v>0.41</v>
      </c>
      <c r="E32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Master'!$F:$F,B32),"")</f>
        <v>0.41</v>
      </c>
      <c r="F32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Master'!$F:$F,B32),"")</f>
        <v>7.3999999999999996E-2</v>
      </c>
      <c r="G32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Master'!$F:$F,B32),"")</f>
        <v>143</v>
      </c>
      <c r="H32">
        <f>IF(AND(ISNUMBER(C32),C32&gt;='Bulk Calculator'!U6/('Bulk Calculator'!J6*'Bulk Calculator'!L6)),1,0)</f>
        <v>1</v>
      </c>
      <c r="I32">
        <f>IFERROR(IF(AND(ISNUMBER(E32),ISNUMBER(F32),E32&gt;0,F32&gt;0),SQRT(3)*'Bulk Calculator'!O6*'Bulk Calculator'!AA6*((E32*'Bulk Calculator'!Q6)+(F32*SQRT(1-'Bulk Calculator'!Q6^2)))/'Bulk Calculator'!J6/'Bulk Calculator'!K6*100,D32*'Bulk Calculator'!AA6*'Bulk Calculator'!O6/'Bulk Calculator'!J6/'Bulk Calculator'!K6*100),"")</f>
        <v>0.34308204992040314</v>
      </c>
      <c r="J32">
        <f>IFERROR(IF(AND(ISNUMBER(E32),ISNUMBER(F32),E32&gt;0,F32&gt;0),SQRT(3)*'Bulk Calculator'!O6*'Bulk Calculator'!U6*((E32*'Bulk Calculator'!M6)+(F32*SQRT(1-'Bulk Calculator'!M6^2)))/'Bulk Calculator'!J6/'Bulk Calculator'!K6*100,D32*'Bulk Calculator'!U6*'Bulk Calculator'!O6/'Bulk Calculator'!J6/'Bulk Calculator'!K6*100),"")</f>
        <v>0.45779589295669831</v>
      </c>
      <c r="K32">
        <f>IFERROR(G32*B32*'Bulk Calculator'!J6/SQRT('Bulk Calculator'!S6)/1000,"")</f>
        <v>27.17</v>
      </c>
      <c r="L32">
        <f>IF(OR('Bulk Calculator'!R6="",'Bulk Calculator'!S6="",G32=""),0,IF(K32&gt;='Bulk Calculator'!R6,1,0))</f>
        <v>1</v>
      </c>
      <c r="M32">
        <f>IF(AND(H32=1,I32&lt;='OS-DORAEN'!$B$6,J32&lt;='OS-DORAEN'!$B$5,L32=1),1,0)</f>
        <v>1</v>
      </c>
      <c r="N32" t="str">
        <f t="shared" si="0"/>
        <v>R/X</v>
      </c>
    </row>
    <row r="33" spans="1:14" ht="15" customHeight="1" x14ac:dyDescent="0.35">
      <c r="A33">
        <v>6</v>
      </c>
      <c r="B33">
        <v>70</v>
      </c>
      <c r="C33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Master'!$F:$F,B33),"")</f>
        <v>179</v>
      </c>
      <c r="D33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Master'!$F:$F,B33),"")</f>
        <v>0.56699999999999995</v>
      </c>
      <c r="E33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Master'!$F:$F,B33),"")</f>
        <v>0.56699999999999995</v>
      </c>
      <c r="F33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Master'!$F:$F,B33),"")</f>
        <v>7.6999999999999999E-2</v>
      </c>
      <c r="G33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Master'!$F:$F,B33),"")</f>
        <v>143</v>
      </c>
      <c r="H33">
        <f>IF(AND(ISNUMBER(C33),C33&gt;='Bulk Calculator'!U6/('Bulk Calculator'!J6*'Bulk Calculator'!L6)),1,0)</f>
        <v>1</v>
      </c>
      <c r="I33">
        <f>IFERROR(IF(AND(ISNUMBER(E33),ISNUMBER(F33),E33&gt;0,F33&gt;0),SQRT(3)*'Bulk Calculator'!O6*'Bulk Calculator'!AA6*((E33*'Bulk Calculator'!Q6)+(F33*SQRT(1-'Bulk Calculator'!Q6^2)))/'Bulk Calculator'!J6/'Bulk Calculator'!K6*100,D33*'Bulk Calculator'!AA6*'Bulk Calculator'!O6/'Bulk Calculator'!J6/'Bulk Calculator'!K6*100),"")</f>
        <v>0.4316241745555135</v>
      </c>
      <c r="J33">
        <f>IFERROR(IF(AND(ISNUMBER(E33),ISNUMBER(F33),E33&gt;0,F33&gt;0),SQRT(3)*'Bulk Calculator'!O6*'Bulk Calculator'!U6*((E33*'Bulk Calculator'!M6)+(F33*SQRT(1-'Bulk Calculator'!M6^2)))/'Bulk Calculator'!J6/'Bulk Calculator'!K6*100,D33*'Bulk Calculator'!U6*'Bulk Calculator'!O6/'Bulk Calculator'!J6/'Bulk Calculator'!K6*100),"")</f>
        <v>0.61732937246849884</v>
      </c>
      <c r="K33">
        <f>IFERROR(G33*B33*'Bulk Calculator'!J6/SQRT('Bulk Calculator'!S6)/1000,"")</f>
        <v>20.02</v>
      </c>
      <c r="L33">
        <f>IF(OR('Bulk Calculator'!R6="",'Bulk Calculator'!S6="",G33=""),0,IF(K33&gt;='Bulk Calculator'!R6,1,0))</f>
        <v>1</v>
      </c>
      <c r="M33">
        <f>IF(AND(H33=1,I33&lt;='OS-DORAEN'!$B$6,J33&lt;='OS-DORAEN'!$B$5,L33=1),1,0)</f>
        <v>1</v>
      </c>
      <c r="N33" t="str">
        <f t="shared" si="0"/>
        <v>R/X</v>
      </c>
    </row>
    <row r="34" spans="1:14" ht="15" customHeight="1" x14ac:dyDescent="0.35">
      <c r="A34">
        <v>6</v>
      </c>
      <c r="B34">
        <v>50</v>
      </c>
      <c r="C34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Master'!$F:$F,B34),"")</f>
        <v>142</v>
      </c>
      <c r="D34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Master'!$F:$F,B34),"")</f>
        <v>0.82</v>
      </c>
      <c r="E34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Master'!$F:$F,B34),"")</f>
        <v>0.82</v>
      </c>
      <c r="F34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Master'!$F:$F,B34),"")</f>
        <v>7.8E-2</v>
      </c>
      <c r="G34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Master'!$F:$F,B34),"")</f>
        <v>143</v>
      </c>
      <c r="H34">
        <f>IF(AND(ISNUMBER(C34),C34&gt;='Bulk Calculator'!U6/('Bulk Calculator'!J6*'Bulk Calculator'!L6)),1,0)</f>
        <v>0</v>
      </c>
      <c r="I34">
        <f>IFERROR(IF(AND(ISNUMBER(E34),ISNUMBER(F34),E34&gt;0,F34&gt;0),SQRT(3)*'Bulk Calculator'!O6*'Bulk Calculator'!AA6*((E34*'Bulk Calculator'!Q6)+(F34*SQRT(1-'Bulk Calculator'!Q6^2)))/'Bulk Calculator'!J6/'Bulk Calculator'!K6*100,D34*'Bulk Calculator'!AA6*'Bulk Calculator'!O6/'Bulk Calculator'!J6/'Bulk Calculator'!K6*100),"")</f>
        <v>0.56782440484681673</v>
      </c>
      <c r="J34">
        <f>IFERROR(IF(AND(ISNUMBER(E34),ISNUMBER(F34),E34&gt;0,F34&gt;0),SQRT(3)*'Bulk Calculator'!O6*'Bulk Calculator'!U6*((E34*'Bulk Calculator'!M6)+(F34*SQRT(1-'Bulk Calculator'!M6^2)))/'Bulk Calculator'!J6/'Bulk Calculator'!K6*100,D34*'Bulk Calculator'!U6*'Bulk Calculator'!O6/'Bulk Calculator'!J6/'Bulk Calculator'!K6*100),"")</f>
        <v>0.87202555549315797</v>
      </c>
      <c r="K34">
        <f>IFERROR(G34*B34*'Bulk Calculator'!J6/SQRT('Bulk Calculator'!S6)/1000,"")</f>
        <v>14.3</v>
      </c>
      <c r="L34">
        <f>IF(OR('Bulk Calculator'!R6="",'Bulk Calculator'!S6="",G34=""),0,IF(K34&gt;='Bulk Calculator'!R6,1,0))</f>
        <v>1</v>
      </c>
      <c r="M34">
        <f>IF(AND(H34=1,I34&lt;='OS-DORAEN'!$B$6,J34&lt;='OS-DORAEN'!$B$5,L34=1),1,0)</f>
        <v>0</v>
      </c>
      <c r="N34" t="str">
        <f t="shared" si="0"/>
        <v>R/X</v>
      </c>
    </row>
    <row r="35" spans="1:14" ht="15" customHeight="1" x14ac:dyDescent="0.35">
      <c r="A35">
        <v>6</v>
      </c>
      <c r="B35">
        <v>35</v>
      </c>
      <c r="C35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Master'!$F:$F,B35),"")</f>
        <v>117</v>
      </c>
      <c r="D35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Master'!$F:$F,B35),"")</f>
        <v>1.1100000000000001</v>
      </c>
      <c r="E35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Master'!$F:$F,B35),"")</f>
        <v>1.1100000000000001</v>
      </c>
      <c r="F35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Master'!$F:$F,B35),"")</f>
        <v>0.08</v>
      </c>
      <c r="G35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Master'!$F:$F,B35),"")</f>
        <v>143</v>
      </c>
      <c r="H35">
        <f>IF(AND(ISNUMBER(C35),C35&gt;='Bulk Calculator'!U6/('Bulk Calculator'!J6*'Bulk Calculator'!L6)),1,0)</f>
        <v>0</v>
      </c>
      <c r="I35">
        <f>IFERROR(IF(AND(ISNUMBER(E35),ISNUMBER(F35),E35&gt;0,F35&gt;0),SQRT(3)*'Bulk Calculator'!O6*'Bulk Calculator'!AA6*((E35*'Bulk Calculator'!Q6)+(F35*SQRT(1-'Bulk Calculator'!Q6^2)))/'Bulk Calculator'!J6/'Bulk Calculator'!K6*100,D35*'Bulk Calculator'!AA6*'Bulk Calculator'!O6/'Bulk Calculator'!J6/'Bulk Calculator'!K6*100),"")</f>
        <v>0.72538657588194722</v>
      </c>
      <c r="J35">
        <f>IFERROR(IF(AND(ISNUMBER(E35),ISNUMBER(F35),E35&gt;0,F35&gt;0),SQRT(3)*'Bulk Calculator'!O6*'Bulk Calculator'!U6*((E35*'Bulk Calculator'!M6)+(F35*SQRT(1-'Bulk Calculator'!M6^2)))/'Bulk Calculator'!J6/'Bulk Calculator'!K6*100,D35*'Bulk Calculator'!U6*'Bulk Calculator'!O6/'Bulk Calculator'!J6/'Bulk Calculator'!K6*100),"")</f>
        <v>1.1645011523972433</v>
      </c>
      <c r="K35">
        <f>IFERROR(G35*B35*'Bulk Calculator'!J6/SQRT('Bulk Calculator'!S6)/1000,"")</f>
        <v>10.01</v>
      </c>
      <c r="L35">
        <f>IF(OR('Bulk Calculator'!R6="",'Bulk Calculator'!S6="",G35=""),0,IF(K35&gt;='Bulk Calculator'!R6,1,0))</f>
        <v>0</v>
      </c>
      <c r="M35">
        <f>IF(AND(H35=1,I35&lt;='OS-DORAEN'!$B$6,J35&lt;='OS-DORAEN'!$B$5,L35=1),1,0)</f>
        <v>0</v>
      </c>
      <c r="N35" t="str">
        <f t="shared" si="0"/>
        <v>R/X</v>
      </c>
    </row>
    <row r="36" spans="1:14" ht="15" customHeight="1" x14ac:dyDescent="0.35">
      <c r="A36">
        <v>6</v>
      </c>
      <c r="B36">
        <v>25</v>
      </c>
      <c r="C36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Master'!$F:$F,B36),"")</f>
        <v>96</v>
      </c>
      <c r="D36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Master'!$F:$F,B36),"")</f>
        <v>1.54</v>
      </c>
      <c r="E36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Master'!$F:$F,B36),"")</f>
        <v>1.54</v>
      </c>
      <c r="F36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Master'!$F:$F,B36),"")</f>
        <v>0.08</v>
      </c>
      <c r="G36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Master'!$F:$F,B36),"")</f>
        <v>143</v>
      </c>
      <c r="H36">
        <f>IF(AND(ISNUMBER(C36),C36&gt;='Bulk Calculator'!U6/('Bulk Calculator'!J6*'Bulk Calculator'!L6)),1,0)</f>
        <v>0</v>
      </c>
      <c r="I36">
        <f>IFERROR(IF(AND(ISNUMBER(E36),ISNUMBER(F36),E36&gt;0,F36&gt;0),SQRT(3)*'Bulk Calculator'!O6*'Bulk Calculator'!AA6*((E36*'Bulk Calculator'!Q6)+(F36*SQRT(1-'Bulk Calculator'!Q6^2)))/'Bulk Calculator'!J6/'Bulk Calculator'!K6*100,D36*'Bulk Calculator'!AA6*'Bulk Calculator'!O6/'Bulk Calculator'!J6/'Bulk Calculator'!K6*100),"")</f>
        <v>0.95399983748108963</v>
      </c>
      <c r="J36">
        <f>IFERROR(IF(AND(ISNUMBER(E36),ISNUMBER(F36),E36&gt;0,F36&gt;0),SQRT(3)*'Bulk Calculator'!O6*'Bulk Calculator'!U6*((E36*'Bulk Calculator'!M6)+(F36*SQRT(1-'Bulk Calculator'!M6^2)))/'Bulk Calculator'!J6/'Bulk Calculator'!K6*100,D36*'Bulk Calculator'!U6*'Bulk Calculator'!O6/'Bulk Calculator'!J6/'Bulk Calculator'!K6*100),"")</f>
        <v>1.5963262020845126</v>
      </c>
      <c r="K36">
        <f>IFERROR(G36*B36*'Bulk Calculator'!J6/SQRT('Bulk Calculator'!S6)/1000,"")</f>
        <v>7.15</v>
      </c>
      <c r="L36">
        <f>IF(OR('Bulk Calculator'!R6="",'Bulk Calculator'!S6="",G36=""),0,IF(K36&gt;='Bulk Calculator'!R6,1,0))</f>
        <v>0</v>
      </c>
      <c r="M36">
        <f>IF(AND(H36=1,I36&lt;='OS-DORAEN'!$B$6,J36&lt;='OS-DORAEN'!$B$5,L36=1),1,0)</f>
        <v>0</v>
      </c>
      <c r="N36" t="str">
        <f t="shared" si="0"/>
        <v>R/X</v>
      </c>
    </row>
    <row r="37" spans="1:14" ht="15" customHeight="1" x14ac:dyDescent="0.35">
      <c r="A37">
        <v>6</v>
      </c>
      <c r="B37">
        <v>16</v>
      </c>
      <c r="C37">
        <f>IFERROR(SUMIFS('Cable Data Master'!$G:$G,'Cable Data Master'!$A:$A,'Bulk Calculator'!$BF6,'Cable Data Master'!$B:$B,'Bulk Calculator'!$BG6,'Cable Data Master'!$C:$C,'Bulk Calculator'!$BH6,'Cable Data Master'!$D:$D,'Bulk Calculator'!$BI6,'Cable Data Master'!$E:$E,'Bulk Calculator'!$BJ6,'Cable Data Master'!$F:$F,B37),"")</f>
        <v>0</v>
      </c>
      <c r="D37">
        <f>IFERROR(SUMIFS('Cable Data Master'!$K:$K,'Cable Data Master'!$A:$A,'Bulk Calculator'!$BF6,'Cable Data Master'!$B:$B,'Bulk Calculator'!$BG6,'Cable Data Master'!$C:$C,'Bulk Calculator'!$BH6,'Cable Data Master'!$D:$D,'Bulk Calculator'!$BI6,'Cable Data Master'!$E:$E,'Bulk Calculator'!$BJ6,'Cable Data Master'!$F:$F,B37),"")</f>
        <v>0</v>
      </c>
      <c r="E37">
        <f>IFERROR(SUMIFS('Cable Data Master'!$H:$H,'Cable Data Master'!$A:$A,'Bulk Calculator'!$BF6,'Cable Data Master'!$B:$B,'Bulk Calculator'!$BG6,'Cable Data Master'!$C:$C,'Bulk Calculator'!$BH6,'Cable Data Master'!$D:$D,'Bulk Calculator'!$BI6,'Cable Data Master'!$E:$E,'Bulk Calculator'!$BJ6,'Cable Data Master'!$F:$F,B37),"")</f>
        <v>0</v>
      </c>
      <c r="F37">
        <f>IFERROR(SUMIFS('Cable Data Master'!$I:$I,'Cable Data Master'!$A:$A,'Bulk Calculator'!$BF6,'Cable Data Master'!$B:$B,'Bulk Calculator'!$BG6,'Cable Data Master'!$C:$C,'Bulk Calculator'!$BH6,'Cable Data Master'!$D:$D,'Bulk Calculator'!$BI6,'Cable Data Master'!$E:$E,'Bulk Calculator'!$BJ6,'Cable Data Master'!$F:$F,B37),"")</f>
        <v>0</v>
      </c>
      <c r="G37">
        <f>IFERROR(SUMIFS('Cable Data Master'!$J:$J,'Cable Data Master'!$A:$A,'Bulk Calculator'!$BF6,'Cable Data Master'!$B:$B,'Bulk Calculator'!$BG6,'Cable Data Master'!$C:$C,'Bulk Calculator'!$BH6,'Cable Data Master'!$D:$D,'Bulk Calculator'!$BI6,'Cable Data Master'!$E:$E,'Bulk Calculator'!$BJ6,'Cable Data Master'!$F:$F,B37),"")</f>
        <v>0</v>
      </c>
      <c r="H37">
        <f>IF(AND(ISNUMBER(C37),C37&gt;='Bulk Calculator'!U6/('Bulk Calculator'!J6*'Bulk Calculator'!L6)),1,0)</f>
        <v>0</v>
      </c>
      <c r="I37">
        <f>IFERROR(IF(AND(ISNUMBER(E37),ISNUMBER(F37),E37&gt;0,F37&gt;0),SQRT(3)*'Bulk Calculator'!O6*'Bulk Calculator'!AA6*((E37*'Bulk Calculator'!Q6)+(F37*SQRT(1-'Bulk Calculator'!Q6^2)))/'Bulk Calculator'!J6/'Bulk Calculator'!K6*100,D37*'Bulk Calculator'!AA6*'Bulk Calculator'!O6/'Bulk Calculator'!J6/'Bulk Calculator'!K6*100),"")</f>
        <v>0</v>
      </c>
      <c r="J37">
        <f>IFERROR(IF(AND(ISNUMBER(E37),ISNUMBER(F37),E37&gt;0,F37&gt;0),SQRT(3)*'Bulk Calculator'!O6*'Bulk Calculator'!U6*((E37*'Bulk Calculator'!M6)+(F37*SQRT(1-'Bulk Calculator'!M6^2)))/'Bulk Calculator'!J6/'Bulk Calculator'!K6*100,D37*'Bulk Calculator'!U6*'Bulk Calculator'!O6/'Bulk Calculator'!J6/'Bulk Calculator'!K6*100),"")</f>
        <v>0</v>
      </c>
      <c r="K37">
        <f>IFERROR(G37*B37*'Bulk Calculator'!J6/SQRT('Bulk Calculator'!S6)/1000,"")</f>
        <v>0</v>
      </c>
      <c r="L37">
        <f>IF(OR('Bulk Calculator'!R6="",'Bulk Calculator'!S6="",G37=""),0,IF(K37&gt;='Bulk Calculator'!R6,1,0))</f>
        <v>0</v>
      </c>
      <c r="M37">
        <f>IF(AND(H37=1,I37&lt;='OS-DORAEN'!$B$6,J37&lt;='OS-DORAEN'!$B$5,L37=1),1,0)</f>
        <v>0</v>
      </c>
      <c r="N37" t="str">
        <f t="shared" si="0"/>
        <v>Manufacturer VD Ref</v>
      </c>
    </row>
    <row r="38" spans="1:14" ht="15" customHeight="1" x14ac:dyDescent="0.35">
      <c r="A38">
        <v>7</v>
      </c>
      <c r="B38">
        <v>400</v>
      </c>
      <c r="C38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Master'!$F:$F,B38),"")</f>
        <v>530</v>
      </c>
      <c r="D38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Master'!$F:$F,B38),"")</f>
        <v>0.1023</v>
      </c>
      <c r="E38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Master'!$F:$F,B38),"")</f>
        <v>0.1023</v>
      </c>
      <c r="F38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Master'!$F:$F,B38),"")</f>
        <v>7.0000000000000007E-2</v>
      </c>
      <c r="G38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Master'!$F:$F,B38),"")</f>
        <v>143</v>
      </c>
      <c r="H38">
        <f>IF(AND(ISNUMBER(C38),C38&gt;='Bulk Calculator'!U7/('Bulk Calculator'!J7*'Bulk Calculator'!L7)),1,0)</f>
        <v>1</v>
      </c>
      <c r="I38">
        <f>IFERROR(IF(AND(ISNUMBER(E38),ISNUMBER(F38),E38&gt;0,F38&gt;0),SQRT(3)*'Bulk Calculator'!O7*'Bulk Calculator'!AA7*((E38*'Bulk Calculator'!Q7)+(F38*SQRT(1-'Bulk Calculator'!Q7^2)))/'Bulk Calculator'!J7/'Bulk Calculator'!K7*100,D38*'Bulk Calculator'!AA7*'Bulk Calculator'!O7/'Bulk Calculator'!J7/'Bulk Calculator'!K7*100),"")</f>
        <v>4.0826709159285456E-2</v>
      </c>
      <c r="J38">
        <f>IFERROR(IF(AND(ISNUMBER(E38),ISNUMBER(F38),E38&gt;0,F38&gt;0),SQRT(3)*'Bulk Calculator'!O7*'Bulk Calculator'!U7*((E38*'Bulk Calculator'!M7)+(F38*SQRT(1-'Bulk Calculator'!M7^2)))/'Bulk Calculator'!J7/'Bulk Calculator'!K7*100,D38*'Bulk Calculator'!U7*'Bulk Calculator'!O7/'Bulk Calculator'!J7/'Bulk Calculator'!K7*100),"")</f>
        <v>3.4580099857430602E-2</v>
      </c>
      <c r="K38">
        <f>IFERROR(G38*B38*'Bulk Calculator'!J7/SQRT('Bulk Calculator'!S7)/1000,"")</f>
        <v>57.2</v>
      </c>
      <c r="L38">
        <f>IF(OR('Bulk Calculator'!R7="",'Bulk Calculator'!S7="",G38=""),0,IF(K38&gt;='Bulk Calculator'!R7,1,0))</f>
        <v>1</v>
      </c>
      <c r="M38">
        <f>IF(AND(H38=1,I38&lt;='OS-DORAEN'!$B$6,J38&lt;='OS-DORAEN'!$B$5,L38=1),1,0)</f>
        <v>1</v>
      </c>
      <c r="N38" t="str">
        <f t="shared" si="0"/>
        <v>R/X</v>
      </c>
    </row>
    <row r="39" spans="1:14" ht="15" customHeight="1" x14ac:dyDescent="0.35">
      <c r="A39">
        <v>7</v>
      </c>
      <c r="B39">
        <v>300</v>
      </c>
      <c r="C39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Master'!$F:$F,B39),"")</f>
        <v>455</v>
      </c>
      <c r="D39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Master'!$F:$F,B39),"")</f>
        <v>0.13</v>
      </c>
      <c r="E39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Master'!$F:$F,B39),"")</f>
        <v>0.13</v>
      </c>
      <c r="F39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Master'!$F:$F,B39),"")</f>
        <v>7.0999999999999994E-2</v>
      </c>
      <c r="G39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Master'!$F:$F,B39),"")</f>
        <v>143</v>
      </c>
      <c r="H39">
        <f>IF(AND(ISNUMBER(C39),C39&gt;='Bulk Calculator'!U7/('Bulk Calculator'!J7*'Bulk Calculator'!L7)),1,0)</f>
        <v>1</v>
      </c>
      <c r="I39">
        <f>IFERROR(IF(AND(ISNUMBER(E39),ISNUMBER(F39),E39&gt;0,F39&gt;0),SQRT(3)*'Bulk Calculator'!O7*'Bulk Calculator'!AA7*((E39*'Bulk Calculator'!Q7)+(F39*SQRT(1-'Bulk Calculator'!Q7^2)))/'Bulk Calculator'!J7/'Bulk Calculator'!K7*100,D39*'Bulk Calculator'!AA7*'Bulk Calculator'!O7/'Bulk Calculator'!J7/'Bulk Calculator'!K7*100),"")</f>
        <v>4.4707212560158902E-2</v>
      </c>
      <c r="J39">
        <f>IFERROR(IF(AND(ISNUMBER(E39),ISNUMBER(F39),E39&gt;0,F39&gt;0),SQRT(3)*'Bulk Calculator'!O7*'Bulk Calculator'!U7*((E39*'Bulk Calculator'!M7)+(F39*SQRT(1-'Bulk Calculator'!M7^2)))/'Bulk Calculator'!J7/'Bulk Calculator'!K7*100,D39*'Bulk Calculator'!U7*'Bulk Calculator'!O7/'Bulk Calculator'!J7/'Bulk Calculator'!K7*100),"")</f>
        <v>4.1302267936872535E-2</v>
      </c>
      <c r="K39">
        <f>IFERROR(G39*B39*'Bulk Calculator'!J7/SQRT('Bulk Calculator'!S7)/1000,"")</f>
        <v>42.9</v>
      </c>
      <c r="L39">
        <f>IF(OR('Bulk Calculator'!R7="",'Bulk Calculator'!S7="",G39=""),0,IF(K39&gt;='Bulk Calculator'!R7,1,0))</f>
        <v>1</v>
      </c>
      <c r="M39">
        <f>IF(AND(H39=1,I39&lt;='OS-DORAEN'!$B$6,J39&lt;='OS-DORAEN'!$B$5,L39=1),1,0)</f>
        <v>1</v>
      </c>
      <c r="N39" t="str">
        <f t="shared" si="0"/>
        <v>R/X</v>
      </c>
    </row>
    <row r="40" spans="1:14" ht="15" customHeight="1" x14ac:dyDescent="0.35">
      <c r="A40">
        <v>7</v>
      </c>
      <c r="B40">
        <v>240</v>
      </c>
      <c r="C40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Master'!$F:$F,B40),"")</f>
        <v>399</v>
      </c>
      <c r="D40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Master'!$F:$F,B40),"")</f>
        <v>0.16200000000000001</v>
      </c>
      <c r="E40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Master'!$F:$F,B40),"")</f>
        <v>0.16200000000000001</v>
      </c>
      <c r="F40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Master'!$F:$F,B40),"")</f>
        <v>7.1999999999999995E-2</v>
      </c>
      <c r="G40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Master'!$F:$F,B40),"")</f>
        <v>143</v>
      </c>
      <c r="H40">
        <f>IF(AND(ISNUMBER(C40),C40&gt;='Bulk Calculator'!U7/('Bulk Calculator'!J7*'Bulk Calculator'!L7)),1,0)</f>
        <v>1</v>
      </c>
      <c r="I40">
        <f>IFERROR(IF(AND(ISNUMBER(E40),ISNUMBER(F40),E40&gt;0,F40&gt;0),SQRT(3)*'Bulk Calculator'!O7*'Bulk Calculator'!AA7*((E40*'Bulk Calculator'!Q7)+(F40*SQRT(1-'Bulk Calculator'!Q7^2)))/'Bulk Calculator'!J7/'Bulk Calculator'!K7*100,D40*'Bulk Calculator'!AA7*'Bulk Calculator'!O7/'Bulk Calculator'!J7/'Bulk Calculator'!K7*100),"")</f>
        <v>4.9128074579357577E-2</v>
      </c>
      <c r="J40">
        <f>IFERROR(IF(AND(ISNUMBER(E40),ISNUMBER(F40),E40&gt;0,F40&gt;0),SQRT(3)*'Bulk Calculator'!O7*'Bulk Calculator'!U7*((E40*'Bulk Calculator'!M7)+(F40*SQRT(1-'Bulk Calculator'!M7^2)))/'Bulk Calculator'!J7/'Bulk Calculator'!K7*100,D40*'Bulk Calculator'!U7*'Bulk Calculator'!O7/'Bulk Calculator'!J7/'Bulk Calculator'!K7*100),"")</f>
        <v>4.9045113406484368E-2</v>
      </c>
      <c r="K40">
        <f>IFERROR(G40*B40*'Bulk Calculator'!J7/SQRT('Bulk Calculator'!S7)/1000,"")</f>
        <v>34.32</v>
      </c>
      <c r="L40">
        <f>IF(OR('Bulk Calculator'!R7="",'Bulk Calculator'!S7="",G40=""),0,IF(K40&gt;='Bulk Calculator'!R7,1,0))</f>
        <v>1</v>
      </c>
      <c r="M40">
        <f>IF(AND(H40=1,I40&lt;='OS-DORAEN'!$B$6,J40&lt;='OS-DORAEN'!$B$5,L40=1),1,0)</f>
        <v>1</v>
      </c>
      <c r="N40" t="str">
        <f t="shared" si="0"/>
        <v>R/X</v>
      </c>
    </row>
    <row r="41" spans="1:14" ht="15" customHeight="1" x14ac:dyDescent="0.35">
      <c r="A41">
        <v>7</v>
      </c>
      <c r="B41">
        <v>185</v>
      </c>
      <c r="C41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Master'!$F:$F,B41),"")</f>
        <v>337</v>
      </c>
      <c r="D41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Master'!$F:$F,B41),"")</f>
        <v>0.21099999999999999</v>
      </c>
      <c r="E41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Master'!$F:$F,B41),"")</f>
        <v>0.21099999999999999</v>
      </c>
      <c r="F41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Master'!$F:$F,B41),"")</f>
        <v>7.1999999999999995E-2</v>
      </c>
      <c r="G41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Master'!$F:$F,B41),"")</f>
        <v>143</v>
      </c>
      <c r="H41">
        <f>IF(AND(ISNUMBER(C41),C41&gt;='Bulk Calculator'!U7/('Bulk Calculator'!J7*'Bulk Calculator'!L7)),1,0)</f>
        <v>1</v>
      </c>
      <c r="I41">
        <f>IFERROR(IF(AND(ISNUMBER(E41),ISNUMBER(F41),E41&gt;0,F41&gt;0),SQRT(3)*'Bulk Calculator'!O7*'Bulk Calculator'!AA7*((E41*'Bulk Calculator'!Q7)+(F41*SQRT(1-'Bulk Calculator'!Q7^2)))/'Bulk Calculator'!J7/'Bulk Calculator'!K7*100,D41*'Bulk Calculator'!AA7*'Bulk Calculator'!O7/'Bulk Calculator'!J7/'Bulk Calculator'!K7*100),"")</f>
        <v>5.5285649532366199E-2</v>
      </c>
      <c r="J41">
        <f>IFERROR(IF(AND(ISNUMBER(E41),ISNUMBER(F41),E41&gt;0,F41&gt;0),SQRT(3)*'Bulk Calculator'!O7*'Bulk Calculator'!U7*((E41*'Bulk Calculator'!M7)+(F41*SQRT(1-'Bulk Calculator'!M7^2)))/'Bulk Calculator'!J7/'Bulk Calculator'!K7*100,D41*'Bulk Calculator'!U7*'Bulk Calculator'!O7/'Bulk Calculator'!J7/'Bulk Calculator'!K7*100),"")</f>
        <v>6.0676088317722872E-2</v>
      </c>
      <c r="K41">
        <f>IFERROR(G41*B41*'Bulk Calculator'!J7/SQRT('Bulk Calculator'!S7)/1000,"")</f>
        <v>26.454999999999998</v>
      </c>
      <c r="L41">
        <f>IF(OR('Bulk Calculator'!R7="",'Bulk Calculator'!S7="",G41=""),0,IF(K41&gt;='Bulk Calculator'!R7,1,0))</f>
        <v>1</v>
      </c>
      <c r="M41">
        <f>IF(AND(H41=1,I41&lt;='OS-DORAEN'!$B$6,J41&lt;='OS-DORAEN'!$B$5,L41=1),1,0)</f>
        <v>1</v>
      </c>
      <c r="N41" t="str">
        <f t="shared" si="0"/>
        <v>R/X</v>
      </c>
    </row>
    <row r="42" spans="1:14" ht="15" customHeight="1" x14ac:dyDescent="0.35">
      <c r="A42">
        <v>7</v>
      </c>
      <c r="B42">
        <v>150</v>
      </c>
      <c r="C42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Master'!$F:$F,B42),"")</f>
        <v>292</v>
      </c>
      <c r="D42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Master'!$F:$F,B42),"")</f>
        <v>0.26500000000000001</v>
      </c>
      <c r="E42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Master'!$F:$F,B42),"")</f>
        <v>0.26500000000000001</v>
      </c>
      <c r="F42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Master'!$F:$F,B42),"")</f>
        <v>7.1999999999999995E-2</v>
      </c>
      <c r="G42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Master'!$F:$F,B42),"")</f>
        <v>143</v>
      </c>
      <c r="H42">
        <f>IF(AND(ISNUMBER(C42),C42&gt;='Bulk Calculator'!U7/('Bulk Calculator'!J7*'Bulk Calculator'!L7)),1,0)</f>
        <v>1</v>
      </c>
      <c r="I42">
        <f>IFERROR(IF(AND(ISNUMBER(E42),ISNUMBER(F42),E42&gt;0,F42&gt;0),SQRT(3)*'Bulk Calculator'!O7*'Bulk Calculator'!AA7*((E42*'Bulk Calculator'!Q7)+(F42*SQRT(1-'Bulk Calculator'!Q7^2)))/'Bulk Calculator'!J7/'Bulk Calculator'!K7*100,D42*'Bulk Calculator'!AA7*'Bulk Calculator'!O7/'Bulk Calculator'!J7/'Bulk Calculator'!K7*100),"")</f>
        <v>6.2071548460171613E-2</v>
      </c>
      <c r="J42">
        <f>IFERROR(IF(AND(ISNUMBER(E42),ISNUMBER(F42),E42&gt;0,F42&gt;0),SQRT(3)*'Bulk Calculator'!O7*'Bulk Calculator'!U7*((E42*'Bulk Calculator'!M7)+(F42*SQRT(1-'Bulk Calculator'!M7^2)))/'Bulk Calculator'!J7/'Bulk Calculator'!K7*100,D42*'Bulk Calculator'!U7*'Bulk Calculator'!O7/'Bulk Calculator'!J7/'Bulk Calculator'!K7*100),"")</f>
        <v>7.3493897403577535E-2</v>
      </c>
      <c r="K42">
        <f>IFERROR(G42*B42*'Bulk Calculator'!J7/SQRT('Bulk Calculator'!S7)/1000,"")</f>
        <v>21.45</v>
      </c>
      <c r="L42">
        <f>IF(OR('Bulk Calculator'!R7="",'Bulk Calculator'!S7="",G42=""),0,IF(K42&gt;='Bulk Calculator'!R7,1,0))</f>
        <v>1</v>
      </c>
      <c r="M42">
        <f>IF(AND(H42=1,I42&lt;='OS-DORAEN'!$B$6,J42&lt;='OS-DORAEN'!$B$5,L42=1),1,0)</f>
        <v>1</v>
      </c>
      <c r="N42" t="str">
        <f t="shared" si="0"/>
        <v>R/X</v>
      </c>
    </row>
    <row r="43" spans="1:14" ht="15" customHeight="1" x14ac:dyDescent="0.35">
      <c r="A43">
        <v>7</v>
      </c>
      <c r="B43">
        <v>120</v>
      </c>
      <c r="C43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Master'!$F:$F,B43),"")</f>
        <v>257</v>
      </c>
      <c r="D43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Master'!$F:$F,B43),"")</f>
        <v>0.32500000000000001</v>
      </c>
      <c r="E43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Master'!$F:$F,B43),"")</f>
        <v>0.32500000000000001</v>
      </c>
      <c r="F43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Master'!$F:$F,B43),"")</f>
        <v>7.1999999999999995E-2</v>
      </c>
      <c r="G43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Master'!$F:$F,B43),"")</f>
        <v>143</v>
      </c>
      <c r="H43">
        <f>IF(AND(ISNUMBER(C43),C43&gt;='Bulk Calculator'!U7/('Bulk Calculator'!J7*'Bulk Calculator'!L7)),1,0)</f>
        <v>1</v>
      </c>
      <c r="I43">
        <f>IFERROR(IF(AND(ISNUMBER(E43),ISNUMBER(F43),E43&gt;0,F43&gt;0),SQRT(3)*'Bulk Calculator'!O7*'Bulk Calculator'!AA7*((E43*'Bulk Calculator'!Q7)+(F43*SQRT(1-'Bulk Calculator'!Q7^2)))/'Bulk Calculator'!J7/'Bulk Calculator'!K7*100,D43*'Bulk Calculator'!AA7*'Bulk Calculator'!O7/'Bulk Calculator'!J7/'Bulk Calculator'!K7*100),"")</f>
        <v>6.9611436157733186E-2</v>
      </c>
      <c r="J43">
        <f>IFERROR(IF(AND(ISNUMBER(E43),ISNUMBER(F43),E43&gt;0,F43&gt;0),SQRT(3)*'Bulk Calculator'!O7*'Bulk Calculator'!U7*((E43*'Bulk Calculator'!M7)+(F43*SQRT(1-'Bulk Calculator'!M7^2)))/'Bulk Calculator'!J7/'Bulk Calculator'!K7*100,D43*'Bulk Calculator'!U7*'Bulk Calculator'!O7/'Bulk Calculator'!J7/'Bulk Calculator'!K7*100),"")</f>
        <v>8.7735907498971616E-2</v>
      </c>
      <c r="K43">
        <f>IFERROR(G43*B43*'Bulk Calculator'!J7/SQRT('Bulk Calculator'!S7)/1000,"")</f>
        <v>17.16</v>
      </c>
      <c r="L43">
        <f>IF(OR('Bulk Calculator'!R7="",'Bulk Calculator'!S7="",G43=""),0,IF(K43&gt;='Bulk Calculator'!R7,1,0))</f>
        <v>1</v>
      </c>
      <c r="M43">
        <f>IF(AND(H43=1,I43&lt;='OS-DORAEN'!$B$6,J43&lt;='OS-DORAEN'!$B$5,L43=1),1,0)</f>
        <v>1</v>
      </c>
      <c r="N43" t="str">
        <f t="shared" si="0"/>
        <v>R/X</v>
      </c>
    </row>
    <row r="44" spans="1:14" ht="15" customHeight="1" x14ac:dyDescent="0.35">
      <c r="A44">
        <v>7</v>
      </c>
      <c r="B44">
        <v>95</v>
      </c>
      <c r="C44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Master'!$F:$F,B44),"")</f>
        <v>221</v>
      </c>
      <c r="D44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Master'!$F:$F,B44),"")</f>
        <v>0.41</v>
      </c>
      <c r="E44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Master'!$F:$F,B44),"")</f>
        <v>0.41</v>
      </c>
      <c r="F44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Master'!$F:$F,B44),"")</f>
        <v>7.3999999999999996E-2</v>
      </c>
      <c r="G44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Master'!$F:$F,B44),"")</f>
        <v>143</v>
      </c>
      <c r="H44">
        <f>IF(AND(ISNUMBER(C44),C44&gt;='Bulk Calculator'!U7/('Bulk Calculator'!J7*'Bulk Calculator'!L7)),1,0)</f>
        <v>1</v>
      </c>
      <c r="I44">
        <f>IFERROR(IF(AND(ISNUMBER(E44),ISNUMBER(F44),E44&gt;0,F44&gt;0),SQRT(3)*'Bulk Calculator'!O7*'Bulk Calculator'!AA7*((E44*'Bulk Calculator'!Q7)+(F44*SQRT(1-'Bulk Calculator'!Q7^2)))/'Bulk Calculator'!J7/'Bulk Calculator'!K7*100,D44*'Bulk Calculator'!AA7*'Bulk Calculator'!O7/'Bulk Calculator'!J7/'Bulk Calculator'!K7*100),"")</f>
        <v>8.1092120890277106E-2</v>
      </c>
      <c r="J44">
        <f>IFERROR(IF(AND(ISNUMBER(E44),ISNUMBER(F44),E44&gt;0,F44&gt;0),SQRT(3)*'Bulk Calculator'!O7*'Bulk Calculator'!U7*((E44*'Bulk Calculator'!M7)+(F44*SQRT(1-'Bulk Calculator'!M7^2)))/'Bulk Calculator'!J7/'Bulk Calculator'!K7*100,D44*'Bulk Calculator'!U7*'Bulk Calculator'!O7/'Bulk Calculator'!J7/'Bulk Calculator'!K7*100),"")</f>
        <v>0.10820630197158321</v>
      </c>
      <c r="K44">
        <f>IFERROR(G44*B44*'Bulk Calculator'!J7/SQRT('Bulk Calculator'!S7)/1000,"")</f>
        <v>13.585000000000001</v>
      </c>
      <c r="L44">
        <f>IF(OR('Bulk Calculator'!R7="",'Bulk Calculator'!S7="",G44=""),0,IF(K44&gt;='Bulk Calculator'!R7,1,0))</f>
        <v>1</v>
      </c>
      <c r="M44">
        <f>IF(AND(H44=1,I44&lt;='OS-DORAEN'!$B$6,J44&lt;='OS-DORAEN'!$B$5,L44=1),1,0)</f>
        <v>1</v>
      </c>
      <c r="N44" t="str">
        <f t="shared" si="0"/>
        <v>R/X</v>
      </c>
    </row>
    <row r="45" spans="1:14" ht="15" customHeight="1" x14ac:dyDescent="0.35">
      <c r="A45">
        <v>7</v>
      </c>
      <c r="B45">
        <v>70</v>
      </c>
      <c r="C45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Master'!$F:$F,B45),"")</f>
        <v>179</v>
      </c>
      <c r="D45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Master'!$F:$F,B45),"")</f>
        <v>0.56699999999999995</v>
      </c>
      <c r="E45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Master'!$F:$F,B45),"")</f>
        <v>0.56699999999999995</v>
      </c>
      <c r="F45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Master'!$F:$F,B45),"")</f>
        <v>7.6999999999999999E-2</v>
      </c>
      <c r="G45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Master'!$F:$F,B45),"")</f>
        <v>143</v>
      </c>
      <c r="H45">
        <f>IF(AND(ISNUMBER(C45),C45&gt;='Bulk Calculator'!U7/('Bulk Calculator'!J7*'Bulk Calculator'!L7)),1,0)</f>
        <v>1</v>
      </c>
      <c r="I45">
        <f>IFERROR(IF(AND(ISNUMBER(E45),ISNUMBER(F45),E45&gt;0,F45&gt;0),SQRT(3)*'Bulk Calculator'!O7*'Bulk Calculator'!AA7*((E45*'Bulk Calculator'!Q7)+(F45*SQRT(1-'Bulk Calculator'!Q7^2)))/'Bulk Calculator'!J7/'Bulk Calculator'!K7*100,D45*'Bulk Calculator'!AA7*'Bulk Calculator'!O7/'Bulk Calculator'!J7/'Bulk Calculator'!K7*100),"")</f>
        <v>0.1020202594403941</v>
      </c>
      <c r="J45">
        <f>IFERROR(IF(AND(ISNUMBER(E45),ISNUMBER(F45),E45&gt;0,F45&gt;0),SQRT(3)*'Bulk Calculator'!O7*'Bulk Calculator'!U7*((E45*'Bulk Calculator'!M7)+(F45*SQRT(1-'Bulk Calculator'!M7^2)))/'Bulk Calculator'!J7/'Bulk Calculator'!K7*100,D45*'Bulk Calculator'!U7*'Bulk Calculator'!O7/'Bulk Calculator'!J7/'Bulk Calculator'!K7*100),"")</f>
        <v>0.14591421531073606</v>
      </c>
      <c r="K45">
        <f>IFERROR(G45*B45*'Bulk Calculator'!J7/SQRT('Bulk Calculator'!S7)/1000,"")</f>
        <v>10.01</v>
      </c>
      <c r="L45">
        <f>IF(OR('Bulk Calculator'!R7="",'Bulk Calculator'!S7="",G45=""),0,IF(K45&gt;='Bulk Calculator'!R7,1,0))</f>
        <v>1</v>
      </c>
      <c r="M45">
        <f>IF(AND(H45=1,I45&lt;='OS-DORAEN'!$B$6,J45&lt;='OS-DORAEN'!$B$5,L45=1),1,0)</f>
        <v>1</v>
      </c>
      <c r="N45" t="str">
        <f t="shared" si="0"/>
        <v>R/X</v>
      </c>
    </row>
    <row r="46" spans="1:14" ht="15" customHeight="1" x14ac:dyDescent="0.35">
      <c r="A46">
        <v>7</v>
      </c>
      <c r="B46">
        <v>50</v>
      </c>
      <c r="C46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Master'!$F:$F,B46),"")</f>
        <v>142</v>
      </c>
      <c r="D46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Master'!$F:$F,B46),"")</f>
        <v>0.82</v>
      </c>
      <c r="E46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Master'!$F:$F,B46),"")</f>
        <v>0.82</v>
      </c>
      <c r="F46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Master'!$F:$F,B46),"")</f>
        <v>7.8E-2</v>
      </c>
      <c r="G46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Master'!$F:$F,B46),"")</f>
        <v>143</v>
      </c>
      <c r="H46">
        <f>IF(AND(ISNUMBER(C46),C46&gt;='Bulk Calculator'!U7/('Bulk Calculator'!J7*'Bulk Calculator'!L7)),1,0)</f>
        <v>1</v>
      </c>
      <c r="I46">
        <f>IFERROR(IF(AND(ISNUMBER(E46),ISNUMBER(F46),E46&gt;0,F46&gt;0),SQRT(3)*'Bulk Calculator'!O7*'Bulk Calculator'!AA7*((E46*'Bulk Calculator'!Q7)+(F46*SQRT(1-'Bulk Calculator'!Q7^2)))/'Bulk Calculator'!J7/'Bulk Calculator'!K7*100,D46*'Bulk Calculator'!AA7*'Bulk Calculator'!O7/'Bulk Calculator'!J7/'Bulk Calculator'!K7*100),"")</f>
        <v>0.13421304114561122</v>
      </c>
      <c r="J46">
        <f>IFERROR(IF(AND(ISNUMBER(E46),ISNUMBER(F46),E46&gt;0,F46&gt;0),SQRT(3)*'Bulk Calculator'!O7*'Bulk Calculator'!U7*((E46*'Bulk Calculator'!M7)+(F46*SQRT(1-'Bulk Calculator'!M7^2)))/'Bulk Calculator'!J7/'Bulk Calculator'!K7*100,D46*'Bulk Calculator'!U7*'Bulk Calculator'!O7/'Bulk Calculator'!J7/'Bulk Calculator'!K7*100),"")</f>
        <v>0.20611513129838274</v>
      </c>
      <c r="K46">
        <f>IFERROR(G46*B46*'Bulk Calculator'!J7/SQRT('Bulk Calculator'!S7)/1000,"")</f>
        <v>7.15</v>
      </c>
      <c r="L46">
        <f>IF(OR('Bulk Calculator'!R7="",'Bulk Calculator'!S7="",G46=""),0,IF(K46&gt;='Bulk Calculator'!R7,1,0))</f>
        <v>1</v>
      </c>
      <c r="M46">
        <f>IF(AND(H46=1,I46&lt;='OS-DORAEN'!$B$6,J46&lt;='OS-DORAEN'!$B$5,L46=1),1,0)</f>
        <v>1</v>
      </c>
      <c r="N46" t="str">
        <f t="shared" si="0"/>
        <v>R/X</v>
      </c>
    </row>
    <row r="47" spans="1:14" ht="15" customHeight="1" x14ac:dyDescent="0.35">
      <c r="A47">
        <v>7</v>
      </c>
      <c r="B47">
        <v>35</v>
      </c>
      <c r="C47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Master'!$F:$F,B47),"")</f>
        <v>117</v>
      </c>
      <c r="D47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Master'!$F:$F,B47),"")</f>
        <v>1.1100000000000001</v>
      </c>
      <c r="E47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Master'!$F:$F,B47),"")</f>
        <v>1.1100000000000001</v>
      </c>
      <c r="F47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Master'!$F:$F,B47),"")</f>
        <v>0.08</v>
      </c>
      <c r="G47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Master'!$F:$F,B47),"")</f>
        <v>143</v>
      </c>
      <c r="H47">
        <f>IF(AND(ISNUMBER(C47),C47&gt;='Bulk Calculator'!U7/('Bulk Calculator'!J7*'Bulk Calculator'!L7)),1,0)</f>
        <v>1</v>
      </c>
      <c r="I47">
        <f>IFERROR(IF(AND(ISNUMBER(E47),ISNUMBER(F47),E47&gt;0,F47&gt;0),SQRT(3)*'Bulk Calculator'!O7*'Bulk Calculator'!AA7*((E47*'Bulk Calculator'!Q7)+(F47*SQRT(1-'Bulk Calculator'!Q7^2)))/'Bulk Calculator'!J7/'Bulk Calculator'!K7*100,D47*'Bulk Calculator'!AA7*'Bulk Calculator'!O7/'Bulk Calculator'!J7/'Bulk Calculator'!K7*100),"")</f>
        <v>0.1714550088448239</v>
      </c>
      <c r="J47">
        <f>IFERROR(IF(AND(ISNUMBER(E47),ISNUMBER(F47),E47&gt;0,F47&gt;0),SQRT(3)*'Bulk Calculator'!O7*'Bulk Calculator'!U7*((E47*'Bulk Calculator'!M7)+(F47*SQRT(1-'Bulk Calculator'!M7^2)))/'Bulk Calculator'!J7/'Bulk Calculator'!K7*100,D47*'Bulk Calculator'!U7*'Bulk Calculator'!O7/'Bulk Calculator'!J7/'Bulk Calculator'!K7*100),"")</f>
        <v>0.27524572693025751</v>
      </c>
      <c r="K47">
        <f>IFERROR(G47*B47*'Bulk Calculator'!J7/SQRT('Bulk Calculator'!S7)/1000,"")</f>
        <v>5.0049999999999999</v>
      </c>
      <c r="L47">
        <f>IF(OR('Bulk Calculator'!R7="",'Bulk Calculator'!S7="",G47=""),0,IF(K47&gt;='Bulk Calculator'!R7,1,0))</f>
        <v>1</v>
      </c>
      <c r="M47">
        <f>IF(AND(H47=1,I47&lt;='OS-DORAEN'!$B$6,J47&lt;='OS-DORAEN'!$B$5,L47=1),1,0)</f>
        <v>1</v>
      </c>
      <c r="N47" t="str">
        <f t="shared" si="0"/>
        <v>R/X</v>
      </c>
    </row>
    <row r="48" spans="1:14" ht="15" customHeight="1" x14ac:dyDescent="0.35">
      <c r="A48">
        <v>7</v>
      </c>
      <c r="B48">
        <v>25</v>
      </c>
      <c r="C48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Master'!$F:$F,B48),"")</f>
        <v>96</v>
      </c>
      <c r="D48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Master'!$F:$F,B48),"")</f>
        <v>1.54</v>
      </c>
      <c r="E48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Master'!$F:$F,B48),"")</f>
        <v>1.54</v>
      </c>
      <c r="F48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Master'!$F:$F,B48),"")</f>
        <v>0.08</v>
      </c>
      <c r="G48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Master'!$F:$F,B48),"")</f>
        <v>143</v>
      </c>
      <c r="H48">
        <f>IF(AND(ISNUMBER(C48),C48&gt;='Bulk Calculator'!U7/('Bulk Calculator'!J7*'Bulk Calculator'!L7)),1,0)</f>
        <v>1</v>
      </c>
      <c r="I48">
        <f>IFERROR(IF(AND(ISNUMBER(E48),ISNUMBER(F48),E48&gt;0,F48&gt;0),SQRT(3)*'Bulk Calculator'!O7*'Bulk Calculator'!AA7*((E48*'Bulk Calculator'!Q7)+(F48*SQRT(1-'Bulk Calculator'!Q7^2)))/'Bulk Calculator'!J7/'Bulk Calculator'!K7*100,D48*'Bulk Calculator'!AA7*'Bulk Calculator'!O7/'Bulk Calculator'!J7/'Bulk Calculator'!K7*100),"")</f>
        <v>0.22549087067734847</v>
      </c>
      <c r="J48">
        <f>IFERROR(IF(AND(ISNUMBER(E48),ISNUMBER(F48),E48&gt;0,F48&gt;0),SQRT(3)*'Bulk Calculator'!O7*'Bulk Calculator'!U7*((E48*'Bulk Calculator'!M7)+(F48*SQRT(1-'Bulk Calculator'!M7^2)))/'Bulk Calculator'!J7/'Bulk Calculator'!K7*100,D48*'Bulk Calculator'!U7*'Bulk Calculator'!O7/'Bulk Calculator'!J7/'Bulk Calculator'!K7*100),"")</f>
        <v>0.37731346594724835</v>
      </c>
      <c r="K48">
        <f>IFERROR(G48*B48*'Bulk Calculator'!J7/SQRT('Bulk Calculator'!S7)/1000,"")</f>
        <v>3.5750000000000002</v>
      </c>
      <c r="L48">
        <f>IF(OR('Bulk Calculator'!R7="",'Bulk Calculator'!S7="",G48=""),0,IF(K48&gt;='Bulk Calculator'!R7,1,0))</f>
        <v>1</v>
      </c>
      <c r="M48">
        <f>IF(AND(H48=1,I48&lt;='OS-DORAEN'!$B$6,J48&lt;='OS-DORAEN'!$B$5,L48=1),1,0)</f>
        <v>1</v>
      </c>
      <c r="N48" t="str">
        <f t="shared" si="0"/>
        <v>R/X</v>
      </c>
    </row>
    <row r="49" spans="1:14" ht="15" customHeight="1" x14ac:dyDescent="0.35">
      <c r="A49">
        <v>7</v>
      </c>
      <c r="B49">
        <v>16</v>
      </c>
      <c r="C49">
        <f>IFERROR(SUMIFS('Cable Data Master'!$G:$G,'Cable Data Master'!$A:$A,'Bulk Calculator'!$BF7,'Cable Data Master'!$B:$B,'Bulk Calculator'!$BG7,'Cable Data Master'!$C:$C,'Bulk Calculator'!$BH7,'Cable Data Master'!$D:$D,'Bulk Calculator'!$BI7,'Cable Data Master'!$E:$E,'Bulk Calculator'!$BJ7,'Cable Data Master'!$F:$F,B49),"")</f>
        <v>0</v>
      </c>
      <c r="D49">
        <f>IFERROR(SUMIFS('Cable Data Master'!$K:$K,'Cable Data Master'!$A:$A,'Bulk Calculator'!$BF7,'Cable Data Master'!$B:$B,'Bulk Calculator'!$BG7,'Cable Data Master'!$C:$C,'Bulk Calculator'!$BH7,'Cable Data Master'!$D:$D,'Bulk Calculator'!$BI7,'Cable Data Master'!$E:$E,'Bulk Calculator'!$BJ7,'Cable Data Master'!$F:$F,B49),"")</f>
        <v>0</v>
      </c>
      <c r="E49">
        <f>IFERROR(SUMIFS('Cable Data Master'!$H:$H,'Cable Data Master'!$A:$A,'Bulk Calculator'!$BF7,'Cable Data Master'!$B:$B,'Bulk Calculator'!$BG7,'Cable Data Master'!$C:$C,'Bulk Calculator'!$BH7,'Cable Data Master'!$D:$D,'Bulk Calculator'!$BI7,'Cable Data Master'!$E:$E,'Bulk Calculator'!$BJ7,'Cable Data Master'!$F:$F,B49),"")</f>
        <v>0</v>
      </c>
      <c r="F49">
        <f>IFERROR(SUMIFS('Cable Data Master'!$I:$I,'Cable Data Master'!$A:$A,'Bulk Calculator'!$BF7,'Cable Data Master'!$B:$B,'Bulk Calculator'!$BG7,'Cable Data Master'!$C:$C,'Bulk Calculator'!$BH7,'Cable Data Master'!$D:$D,'Bulk Calculator'!$BI7,'Cable Data Master'!$E:$E,'Bulk Calculator'!$BJ7,'Cable Data Master'!$F:$F,B49),"")</f>
        <v>0</v>
      </c>
      <c r="G49">
        <f>IFERROR(SUMIFS('Cable Data Master'!$J:$J,'Cable Data Master'!$A:$A,'Bulk Calculator'!$BF7,'Cable Data Master'!$B:$B,'Bulk Calculator'!$BG7,'Cable Data Master'!$C:$C,'Bulk Calculator'!$BH7,'Cable Data Master'!$D:$D,'Bulk Calculator'!$BI7,'Cable Data Master'!$E:$E,'Bulk Calculator'!$BJ7,'Cable Data Master'!$F:$F,B49),"")</f>
        <v>0</v>
      </c>
      <c r="H49">
        <f>IF(AND(ISNUMBER(C49),C49&gt;='Bulk Calculator'!U7/('Bulk Calculator'!J7*'Bulk Calculator'!L7)),1,0)</f>
        <v>0</v>
      </c>
      <c r="I49">
        <f>IFERROR(IF(AND(ISNUMBER(E49),ISNUMBER(F49),E49&gt;0,F49&gt;0),SQRT(3)*'Bulk Calculator'!O7*'Bulk Calculator'!AA7*((E49*'Bulk Calculator'!Q7)+(F49*SQRT(1-'Bulk Calculator'!Q7^2)))/'Bulk Calculator'!J7/'Bulk Calculator'!K7*100,D49*'Bulk Calculator'!AA7*'Bulk Calculator'!O7/'Bulk Calculator'!J7/'Bulk Calculator'!K7*100),"")</f>
        <v>0</v>
      </c>
      <c r="J49">
        <f>IFERROR(IF(AND(ISNUMBER(E49),ISNUMBER(F49),E49&gt;0,F49&gt;0),SQRT(3)*'Bulk Calculator'!O7*'Bulk Calculator'!U7*((E49*'Bulk Calculator'!M7)+(F49*SQRT(1-'Bulk Calculator'!M7^2)))/'Bulk Calculator'!J7/'Bulk Calculator'!K7*100,D49*'Bulk Calculator'!U7*'Bulk Calculator'!O7/'Bulk Calculator'!J7/'Bulk Calculator'!K7*100),"")</f>
        <v>0</v>
      </c>
      <c r="K49">
        <f>IFERROR(G49*B49*'Bulk Calculator'!J7/SQRT('Bulk Calculator'!S7)/1000,"")</f>
        <v>0</v>
      </c>
      <c r="L49">
        <f>IF(OR('Bulk Calculator'!R7="",'Bulk Calculator'!S7="",G49=""),0,IF(K49&gt;='Bulk Calculator'!R7,1,0))</f>
        <v>0</v>
      </c>
      <c r="M49">
        <f>IF(AND(H49=1,I49&lt;='OS-DORAEN'!$B$6,J49&lt;='OS-DORAEN'!$B$5,L49=1),1,0)</f>
        <v>0</v>
      </c>
      <c r="N49" t="str">
        <f t="shared" si="0"/>
        <v>Manufacturer VD Ref</v>
      </c>
    </row>
    <row r="50" spans="1:14" ht="15" customHeight="1" x14ac:dyDescent="0.35">
      <c r="A50">
        <v>8</v>
      </c>
      <c r="B50">
        <v>400</v>
      </c>
      <c r="C50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Master'!$F:$F,B50),"")</f>
        <v>530</v>
      </c>
      <c r="D50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Master'!$F:$F,B50),"")</f>
        <v>0.1023</v>
      </c>
      <c r="E50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Master'!$F:$F,B50),"")</f>
        <v>0.1023</v>
      </c>
      <c r="F50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Master'!$F:$F,B50),"")</f>
        <v>7.0000000000000007E-2</v>
      </c>
      <c r="G50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Master'!$F:$F,B50),"")</f>
        <v>143</v>
      </c>
      <c r="H50">
        <f>IF(AND(ISNUMBER(C50),C50&gt;='Bulk Calculator'!U8/('Bulk Calculator'!J8*'Bulk Calculator'!L8)),1,0)</f>
        <v>1</v>
      </c>
      <c r="I50">
        <f>IFERROR(IF(AND(ISNUMBER(E50),ISNUMBER(F50),E50&gt;0,F50&gt;0),SQRT(3)*'Bulk Calculator'!O8*'Bulk Calculator'!AA8*((E50*'Bulk Calculator'!Q8)+(F50*SQRT(1-'Bulk Calculator'!Q8^2)))/'Bulk Calculator'!J8/'Bulk Calculator'!K8*100,D50*'Bulk Calculator'!AA8*'Bulk Calculator'!O8/'Bulk Calculator'!J8/'Bulk Calculator'!K8*100),"")</f>
        <v>0.28788064150778214</v>
      </c>
      <c r="J50">
        <f>IFERROR(IF(AND(ISNUMBER(E50),ISNUMBER(F50),E50&gt;0,F50&gt;0),SQRT(3)*'Bulk Calculator'!O8*'Bulk Calculator'!U8*((E50*'Bulk Calculator'!M8)+(F50*SQRT(1-'Bulk Calculator'!M8^2)))/'Bulk Calculator'!J8/'Bulk Calculator'!K8*100,D50*'Bulk Calculator'!U8*'Bulk Calculator'!O8/'Bulk Calculator'!J8/'Bulk Calculator'!K8*100),"")</f>
        <v>0.24383403745624144</v>
      </c>
      <c r="K50">
        <f>IFERROR(G50*B50*'Bulk Calculator'!J8/SQRT('Bulk Calculator'!S8)/1000,"")</f>
        <v>114.4</v>
      </c>
      <c r="L50">
        <f>IF(OR('Bulk Calculator'!R8="",'Bulk Calculator'!S8="",G50=""),0,IF(K50&gt;='Bulk Calculator'!R8,1,0))</f>
        <v>1</v>
      </c>
      <c r="M50">
        <f>IF(AND(H50=1,I50&lt;='OS-DORAEN'!$B$6,J50&lt;='OS-DORAEN'!$B$5,L50=1),1,0)</f>
        <v>1</v>
      </c>
      <c r="N50" t="str">
        <f t="shared" si="0"/>
        <v>R/X</v>
      </c>
    </row>
    <row r="51" spans="1:14" ht="15" customHeight="1" x14ac:dyDescent="0.35">
      <c r="A51">
        <v>8</v>
      </c>
      <c r="B51">
        <v>300</v>
      </c>
      <c r="C51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Master'!$F:$F,B51),"")</f>
        <v>455</v>
      </c>
      <c r="D51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Master'!$F:$F,B51),"")</f>
        <v>0.13</v>
      </c>
      <c r="E51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Master'!$F:$F,B51),"")</f>
        <v>0.13</v>
      </c>
      <c r="F51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Master'!$F:$F,B51),"")</f>
        <v>7.0999999999999994E-2</v>
      </c>
      <c r="G51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Master'!$F:$F,B51),"")</f>
        <v>143</v>
      </c>
      <c r="H51">
        <f>IF(AND(ISNUMBER(C51),C51&gt;='Bulk Calculator'!U8/('Bulk Calculator'!J8*'Bulk Calculator'!L8)),1,0)</f>
        <v>1</v>
      </c>
      <c r="I51">
        <f>IFERROR(IF(AND(ISNUMBER(E51),ISNUMBER(F51),E51&gt;0,F51&gt;0),SQRT(3)*'Bulk Calculator'!O8*'Bulk Calculator'!AA8*((E51*'Bulk Calculator'!Q8)+(F51*SQRT(1-'Bulk Calculator'!Q8^2)))/'Bulk Calculator'!J8/'Bulk Calculator'!K8*100,D51*'Bulk Calculator'!AA8*'Bulk Calculator'!O8/'Bulk Calculator'!J8/'Bulk Calculator'!K8*100),"")</f>
        <v>0.31524316548830006</v>
      </c>
      <c r="J51">
        <f>IFERROR(IF(AND(ISNUMBER(E51),ISNUMBER(F51),E51&gt;0,F51&gt;0),SQRT(3)*'Bulk Calculator'!O8*'Bulk Calculator'!U8*((E51*'Bulk Calculator'!M8)+(F51*SQRT(1-'Bulk Calculator'!M8^2)))/'Bulk Calculator'!J8/'Bulk Calculator'!K8*100,D51*'Bulk Calculator'!U8*'Bulk Calculator'!O8/'Bulk Calculator'!J8/'Bulk Calculator'!K8*100),"")</f>
        <v>0.2912339405805115</v>
      </c>
      <c r="K51">
        <f>IFERROR(G51*B51*'Bulk Calculator'!J8/SQRT('Bulk Calculator'!S8)/1000,"")</f>
        <v>85.8</v>
      </c>
      <c r="L51">
        <f>IF(OR('Bulk Calculator'!R8="",'Bulk Calculator'!S8="",G51=""),0,IF(K51&gt;='Bulk Calculator'!R8,1,0))</f>
        <v>1</v>
      </c>
      <c r="M51">
        <f>IF(AND(H51=1,I51&lt;='OS-DORAEN'!$B$6,J51&lt;='OS-DORAEN'!$B$5,L51=1),1,0)</f>
        <v>1</v>
      </c>
      <c r="N51" t="str">
        <f t="shared" si="0"/>
        <v>R/X</v>
      </c>
    </row>
    <row r="52" spans="1:14" ht="15" customHeight="1" x14ac:dyDescent="0.35">
      <c r="A52">
        <v>8</v>
      </c>
      <c r="B52">
        <v>240</v>
      </c>
      <c r="C52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Master'!$F:$F,B52),"")</f>
        <v>399</v>
      </c>
      <c r="D52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Master'!$F:$F,B52),"")</f>
        <v>0.16200000000000001</v>
      </c>
      <c r="E52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Master'!$F:$F,B52),"")</f>
        <v>0.16200000000000001</v>
      </c>
      <c r="F52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Master'!$F:$F,B52),"")</f>
        <v>7.1999999999999995E-2</v>
      </c>
      <c r="G52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Master'!$F:$F,B52),"")</f>
        <v>143</v>
      </c>
      <c r="H52">
        <f>IF(AND(ISNUMBER(C52),C52&gt;='Bulk Calculator'!U8/('Bulk Calculator'!J8*'Bulk Calculator'!L8)),1,0)</f>
        <v>1</v>
      </c>
      <c r="I52">
        <f>IFERROR(IF(AND(ISNUMBER(E52),ISNUMBER(F52),E52&gt;0,F52&gt;0),SQRT(3)*'Bulk Calculator'!O8*'Bulk Calculator'!AA8*((E52*'Bulk Calculator'!Q8)+(F52*SQRT(1-'Bulk Calculator'!Q8^2)))/'Bulk Calculator'!J8/'Bulk Calculator'!K8*100,D52*'Bulk Calculator'!AA8*'Bulk Calculator'!O8/'Bulk Calculator'!J8/'Bulk Calculator'!K8*100),"")</f>
        <v>0.34641591049547016</v>
      </c>
      <c r="J52">
        <f>IFERROR(IF(AND(ISNUMBER(E52),ISNUMBER(F52),E52&gt;0,F52&gt;0),SQRT(3)*'Bulk Calculator'!O8*'Bulk Calculator'!U8*((E52*'Bulk Calculator'!M8)+(F52*SQRT(1-'Bulk Calculator'!M8^2)))/'Bulk Calculator'!J8/'Bulk Calculator'!K8*100,D52*'Bulk Calculator'!U8*'Bulk Calculator'!O8/'Bulk Calculator'!J8/'Bulk Calculator'!K8*100),"")</f>
        <v>0.34583092786623604</v>
      </c>
      <c r="K52">
        <f>IFERROR(G52*B52*'Bulk Calculator'!J8/SQRT('Bulk Calculator'!S8)/1000,"")</f>
        <v>68.64</v>
      </c>
      <c r="L52">
        <f>IF(OR('Bulk Calculator'!R8="",'Bulk Calculator'!S8="",G52=""),0,IF(K52&gt;='Bulk Calculator'!R8,1,0))</f>
        <v>1</v>
      </c>
      <c r="M52">
        <f>IF(AND(H52=1,I52&lt;='OS-DORAEN'!$B$6,J52&lt;='OS-DORAEN'!$B$5,L52=1),1,0)</f>
        <v>1</v>
      </c>
      <c r="N52" t="str">
        <f t="shared" si="0"/>
        <v>R/X</v>
      </c>
    </row>
    <row r="53" spans="1:14" ht="15" customHeight="1" x14ac:dyDescent="0.35">
      <c r="A53">
        <v>8</v>
      </c>
      <c r="B53">
        <v>185</v>
      </c>
      <c r="C53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Master'!$F:$F,B53),"")</f>
        <v>337</v>
      </c>
      <c r="D53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Master'!$F:$F,B53),"")</f>
        <v>0.21099999999999999</v>
      </c>
      <c r="E53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Master'!$F:$F,B53),"")</f>
        <v>0.21099999999999999</v>
      </c>
      <c r="F53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Master'!$F:$F,B53),"")</f>
        <v>7.1999999999999995E-2</v>
      </c>
      <c r="G53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Master'!$F:$F,B53),"")</f>
        <v>143</v>
      </c>
      <c r="H53">
        <f>IF(AND(ISNUMBER(C53),C53&gt;='Bulk Calculator'!U8/('Bulk Calculator'!J8*'Bulk Calculator'!L8)),1,0)</f>
        <v>1</v>
      </c>
      <c r="I53">
        <f>IFERROR(IF(AND(ISNUMBER(E53),ISNUMBER(F53),E53&gt;0,F53&gt;0),SQRT(3)*'Bulk Calculator'!O8*'Bulk Calculator'!AA8*((E53*'Bulk Calculator'!Q8)+(F53*SQRT(1-'Bulk Calculator'!Q8^2)))/'Bulk Calculator'!J8/'Bulk Calculator'!K8*100,D53*'Bulk Calculator'!AA8*'Bulk Calculator'!O8/'Bulk Calculator'!J8/'Bulk Calculator'!K8*100),"")</f>
        <v>0.38983470824104371</v>
      </c>
      <c r="J53">
        <f>IFERROR(IF(AND(ISNUMBER(E53),ISNUMBER(F53),E53&gt;0,F53&gt;0),SQRT(3)*'Bulk Calculator'!O8*'Bulk Calculator'!U8*((E53*'Bulk Calculator'!M8)+(F53*SQRT(1-'Bulk Calculator'!M8^2)))/'Bulk Calculator'!J8/'Bulk Calculator'!K8*100,D53*'Bulk Calculator'!U8*'Bulk Calculator'!O8/'Bulk Calculator'!J8/'Bulk Calculator'!K8*100),"")</f>
        <v>0.42784421249676391</v>
      </c>
      <c r="K53">
        <f>IFERROR(G53*B53*'Bulk Calculator'!J8/SQRT('Bulk Calculator'!S8)/1000,"")</f>
        <v>52.91</v>
      </c>
      <c r="L53">
        <f>IF(OR('Bulk Calculator'!R8="",'Bulk Calculator'!S8="",G53=""),0,IF(K53&gt;='Bulk Calculator'!R8,1,0))</f>
        <v>1</v>
      </c>
      <c r="M53">
        <f>IF(AND(H53=1,I53&lt;='OS-DORAEN'!$B$6,J53&lt;='OS-DORAEN'!$B$5,L53=1),1,0)</f>
        <v>1</v>
      </c>
      <c r="N53" t="str">
        <f t="shared" si="0"/>
        <v>R/X</v>
      </c>
    </row>
    <row r="54" spans="1:14" ht="15" customHeight="1" x14ac:dyDescent="0.35">
      <c r="A54">
        <v>8</v>
      </c>
      <c r="B54">
        <v>150</v>
      </c>
      <c r="C54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Master'!$F:$F,B54),"")</f>
        <v>292</v>
      </c>
      <c r="D54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Master'!$F:$F,B54),"")</f>
        <v>0.26500000000000001</v>
      </c>
      <c r="E54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Master'!$F:$F,B54),"")</f>
        <v>0.26500000000000001</v>
      </c>
      <c r="F54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Master'!$F:$F,B54),"")</f>
        <v>7.1999999999999995E-2</v>
      </c>
      <c r="G54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Master'!$F:$F,B54),"")</f>
        <v>143</v>
      </c>
      <c r="H54">
        <f>IF(AND(ISNUMBER(C54),C54&gt;='Bulk Calculator'!U8/('Bulk Calculator'!J8*'Bulk Calculator'!L8)),1,0)</f>
        <v>1</v>
      </c>
      <c r="I54">
        <f>IFERROR(IF(AND(ISNUMBER(E54),ISNUMBER(F54),E54&gt;0,F54&gt;0),SQRT(3)*'Bulk Calculator'!O8*'Bulk Calculator'!AA8*((E54*'Bulk Calculator'!Q8)+(F54*SQRT(1-'Bulk Calculator'!Q8^2)))/'Bulk Calculator'!J8/'Bulk Calculator'!K8*100,D54*'Bulk Calculator'!AA8*'Bulk Calculator'!O8/'Bulk Calculator'!J8/'Bulk Calculator'!K8*100),"")</f>
        <v>0.43768399555249227</v>
      </c>
      <c r="J54">
        <f>IFERROR(IF(AND(ISNUMBER(E54),ISNUMBER(F54),E54&gt;0,F54&gt;0),SQRT(3)*'Bulk Calculator'!O8*'Bulk Calculator'!U8*((E54*'Bulk Calculator'!M8)+(F54*SQRT(1-'Bulk Calculator'!M8^2)))/'Bulk Calculator'!J8/'Bulk Calculator'!K8*100,D54*'Bulk Calculator'!U8*'Bulk Calculator'!O8/'Bulk Calculator'!J8/'Bulk Calculator'!K8*100),"")</f>
        <v>0.51822619964061101</v>
      </c>
      <c r="K54">
        <f>IFERROR(G54*B54*'Bulk Calculator'!J8/SQRT('Bulk Calculator'!S8)/1000,"")</f>
        <v>42.9</v>
      </c>
      <c r="L54">
        <f>IF(OR('Bulk Calculator'!R8="",'Bulk Calculator'!S8="",G54=""),0,IF(K54&gt;='Bulk Calculator'!R8,1,0))</f>
        <v>1</v>
      </c>
      <c r="M54">
        <f>IF(AND(H54=1,I54&lt;='OS-DORAEN'!$B$6,J54&lt;='OS-DORAEN'!$B$5,L54=1),1,0)</f>
        <v>1</v>
      </c>
      <c r="N54" t="str">
        <f t="shared" si="0"/>
        <v>R/X</v>
      </c>
    </row>
    <row r="55" spans="1:14" ht="15" customHeight="1" x14ac:dyDescent="0.35">
      <c r="A55">
        <v>8</v>
      </c>
      <c r="B55">
        <v>120</v>
      </c>
      <c r="C55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Master'!$F:$F,B55),"")</f>
        <v>257</v>
      </c>
      <c r="D55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Master'!$F:$F,B55),"")</f>
        <v>0.32500000000000001</v>
      </c>
      <c r="E55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Master'!$F:$F,B55),"")</f>
        <v>0.32500000000000001</v>
      </c>
      <c r="F55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Master'!$F:$F,B55),"")</f>
        <v>7.1999999999999995E-2</v>
      </c>
      <c r="G55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Master'!$F:$F,B55),"")</f>
        <v>143</v>
      </c>
      <c r="H55">
        <f>IF(AND(ISNUMBER(C55),C55&gt;='Bulk Calculator'!U8/('Bulk Calculator'!J8*'Bulk Calculator'!L8)),1,0)</f>
        <v>1</v>
      </c>
      <c r="I55">
        <f>IFERROR(IF(AND(ISNUMBER(E55),ISNUMBER(F55),E55&gt;0,F55&gt;0),SQRT(3)*'Bulk Calculator'!O8*'Bulk Calculator'!AA8*((E55*'Bulk Calculator'!Q8)+(F55*SQRT(1-'Bulk Calculator'!Q8^2)))/'Bulk Calculator'!J8/'Bulk Calculator'!K8*100,D55*'Bulk Calculator'!AA8*'Bulk Calculator'!O8/'Bulk Calculator'!J8/'Bulk Calculator'!K8*100),"")</f>
        <v>0.49084987034299044</v>
      </c>
      <c r="J55">
        <f>IFERROR(IF(AND(ISNUMBER(E55),ISNUMBER(F55),E55&gt;0,F55&gt;0),SQRT(3)*'Bulk Calculator'!O8*'Bulk Calculator'!U8*((E55*'Bulk Calculator'!M8)+(F55*SQRT(1-'Bulk Calculator'!M8^2)))/'Bulk Calculator'!J8/'Bulk Calculator'!K8*100,D55*'Bulk Calculator'!U8*'Bulk Calculator'!O8/'Bulk Calculator'!J8/'Bulk Calculator'!K8*100),"")</f>
        <v>0.61865062980044105</v>
      </c>
      <c r="K55">
        <f>IFERROR(G55*B55*'Bulk Calculator'!J8/SQRT('Bulk Calculator'!S8)/1000,"")</f>
        <v>34.32</v>
      </c>
      <c r="L55">
        <f>IF(OR('Bulk Calculator'!R8="",'Bulk Calculator'!S8="",G55=""),0,IF(K55&gt;='Bulk Calculator'!R8,1,0))</f>
        <v>1</v>
      </c>
      <c r="M55">
        <f>IF(AND(H55=1,I55&lt;='OS-DORAEN'!$B$6,J55&lt;='OS-DORAEN'!$B$5,L55=1),1,0)</f>
        <v>1</v>
      </c>
      <c r="N55" t="str">
        <f t="shared" si="0"/>
        <v>R/X</v>
      </c>
    </row>
    <row r="56" spans="1:14" ht="15" customHeight="1" x14ac:dyDescent="0.35">
      <c r="A56">
        <v>8</v>
      </c>
      <c r="B56">
        <v>95</v>
      </c>
      <c r="C56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Master'!$F:$F,B56),"")</f>
        <v>221</v>
      </c>
      <c r="D56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Master'!$F:$F,B56),"")</f>
        <v>0.41</v>
      </c>
      <c r="E56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Master'!$F:$F,B56),"")</f>
        <v>0.41</v>
      </c>
      <c r="F56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Master'!$F:$F,B56),"")</f>
        <v>7.3999999999999996E-2</v>
      </c>
      <c r="G56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Master'!$F:$F,B56),"")</f>
        <v>143</v>
      </c>
      <c r="H56">
        <f>IF(AND(ISNUMBER(C56),C56&gt;='Bulk Calculator'!U8/('Bulk Calculator'!J8*'Bulk Calculator'!L8)),1,0)</f>
        <v>1</v>
      </c>
      <c r="I56">
        <f>IFERROR(IF(AND(ISNUMBER(E56),ISNUMBER(F56),E56&gt;0,F56&gt;0),SQRT(3)*'Bulk Calculator'!O8*'Bulk Calculator'!AA8*((E56*'Bulk Calculator'!Q8)+(F56*SQRT(1-'Bulk Calculator'!Q8^2)))/'Bulk Calculator'!J8/'Bulk Calculator'!K8*100,D56*'Bulk Calculator'!AA8*'Bulk Calculator'!O8/'Bulk Calculator'!J8/'Bulk Calculator'!K8*100),"")</f>
        <v>0.57180341653400535</v>
      </c>
      <c r="J56">
        <f>IFERROR(IF(AND(ISNUMBER(E56),ISNUMBER(F56),E56&gt;0,F56&gt;0),SQRT(3)*'Bulk Calculator'!O8*'Bulk Calculator'!U8*((E56*'Bulk Calculator'!M8)+(F56*SQRT(1-'Bulk Calculator'!M8^2)))/'Bulk Calculator'!J8/'Bulk Calculator'!K8*100,D56*'Bulk Calculator'!U8*'Bulk Calculator'!O8/'Bulk Calculator'!J8/'Bulk Calculator'!K8*100),"")</f>
        <v>0.7629931549278306</v>
      </c>
      <c r="K56">
        <f>IFERROR(G56*B56*'Bulk Calculator'!J8/SQRT('Bulk Calculator'!S8)/1000,"")</f>
        <v>27.17</v>
      </c>
      <c r="L56">
        <f>IF(OR('Bulk Calculator'!R8="",'Bulk Calculator'!S8="",G56=""),0,IF(K56&gt;='Bulk Calculator'!R8,1,0))</f>
        <v>1</v>
      </c>
      <c r="M56">
        <f>IF(AND(H56=1,I56&lt;='OS-DORAEN'!$B$6,J56&lt;='OS-DORAEN'!$B$5,L56=1),1,0)</f>
        <v>1</v>
      </c>
      <c r="N56" t="str">
        <f t="shared" si="0"/>
        <v>R/X</v>
      </c>
    </row>
    <row r="57" spans="1:14" ht="15" customHeight="1" x14ac:dyDescent="0.35">
      <c r="A57">
        <v>8</v>
      </c>
      <c r="B57">
        <v>70</v>
      </c>
      <c r="C57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Master'!$F:$F,B57),"")</f>
        <v>179</v>
      </c>
      <c r="D57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Master'!$F:$F,B57),"")</f>
        <v>0.56699999999999995</v>
      </c>
      <c r="E57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Master'!$F:$F,B57),"")</f>
        <v>0.56699999999999995</v>
      </c>
      <c r="F57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Master'!$F:$F,B57),"")</f>
        <v>7.6999999999999999E-2</v>
      </c>
      <c r="G57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Master'!$F:$F,B57),"")</f>
        <v>143</v>
      </c>
      <c r="H57">
        <f>IF(AND(ISNUMBER(C57),C57&gt;='Bulk Calculator'!U8/('Bulk Calculator'!J8*'Bulk Calculator'!L8)),1,0)</f>
        <v>1</v>
      </c>
      <c r="I57">
        <f>IFERROR(IF(AND(ISNUMBER(E57),ISNUMBER(F57),E57&gt;0,F57&gt;0),SQRT(3)*'Bulk Calculator'!O8*'Bulk Calculator'!AA8*((E57*'Bulk Calculator'!Q8)+(F57*SQRT(1-'Bulk Calculator'!Q8^2)))/'Bulk Calculator'!J8/'Bulk Calculator'!K8*100,D57*'Bulk Calculator'!AA8*'Bulk Calculator'!O8/'Bulk Calculator'!J8/'Bulk Calculator'!K8*100),"")</f>
        <v>0.71937362425918927</v>
      </c>
      <c r="J57">
        <f>IFERROR(IF(AND(ISNUMBER(E57),ISNUMBER(F57),E57&gt;0,F57&gt;0),SQRT(3)*'Bulk Calculator'!O8*'Bulk Calculator'!U8*((E57*'Bulk Calculator'!M8)+(F57*SQRT(1-'Bulk Calculator'!M8^2)))/'Bulk Calculator'!J8/'Bulk Calculator'!K8*100,D57*'Bulk Calculator'!U8*'Bulk Calculator'!O8/'Bulk Calculator'!J8/'Bulk Calculator'!K8*100),"")</f>
        <v>1.0288822874474981</v>
      </c>
      <c r="K57">
        <f>IFERROR(G57*B57*'Bulk Calculator'!J8/SQRT('Bulk Calculator'!S8)/1000,"")</f>
        <v>20.02</v>
      </c>
      <c r="L57">
        <f>IF(OR('Bulk Calculator'!R8="",'Bulk Calculator'!S8="",G57=""),0,IF(K57&gt;='Bulk Calculator'!R8,1,0))</f>
        <v>1</v>
      </c>
      <c r="M57">
        <f>IF(AND(H57=1,I57&lt;='OS-DORAEN'!$B$6,J57&lt;='OS-DORAEN'!$B$5,L57=1),1,0)</f>
        <v>1</v>
      </c>
      <c r="N57" t="str">
        <f t="shared" si="0"/>
        <v>R/X</v>
      </c>
    </row>
    <row r="58" spans="1:14" ht="15" customHeight="1" x14ac:dyDescent="0.35">
      <c r="A58">
        <v>8</v>
      </c>
      <c r="B58">
        <v>50</v>
      </c>
      <c r="C58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Master'!$F:$F,B58),"")</f>
        <v>142</v>
      </c>
      <c r="D58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Master'!$F:$F,B58),"")</f>
        <v>0.82</v>
      </c>
      <c r="E58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Master'!$F:$F,B58),"")</f>
        <v>0.82</v>
      </c>
      <c r="F58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Master'!$F:$F,B58),"")</f>
        <v>7.8E-2</v>
      </c>
      <c r="G58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Master'!$F:$F,B58),"")</f>
        <v>143</v>
      </c>
      <c r="H58">
        <f>IF(AND(ISNUMBER(C58),C58&gt;='Bulk Calculator'!U8/('Bulk Calculator'!J8*'Bulk Calculator'!L8)),1,0)</f>
        <v>1</v>
      </c>
      <c r="I58">
        <f>IFERROR(IF(AND(ISNUMBER(E58),ISNUMBER(F58),E58&gt;0,F58&gt;0),SQRT(3)*'Bulk Calculator'!O8*'Bulk Calculator'!AA8*((E58*'Bulk Calculator'!Q8)+(F58*SQRT(1-'Bulk Calculator'!Q8^2)))/'Bulk Calculator'!J8/'Bulk Calculator'!K8*100,D58*'Bulk Calculator'!AA8*'Bulk Calculator'!O8/'Bulk Calculator'!J8/'Bulk Calculator'!K8*100),"")</f>
        <v>0.94637400807802818</v>
      </c>
      <c r="J58">
        <f>IFERROR(IF(AND(ISNUMBER(E58),ISNUMBER(F58),E58&gt;0,F58&gt;0),SQRT(3)*'Bulk Calculator'!O8*'Bulk Calculator'!U8*((E58*'Bulk Calculator'!M8)+(F58*SQRT(1-'Bulk Calculator'!M8^2)))/'Bulk Calculator'!J8/'Bulk Calculator'!K8*100,D58*'Bulk Calculator'!U8*'Bulk Calculator'!O8/'Bulk Calculator'!J8/'Bulk Calculator'!K8*100),"")</f>
        <v>1.4533759258219303</v>
      </c>
      <c r="K58">
        <f>IFERROR(G58*B58*'Bulk Calculator'!J8/SQRT('Bulk Calculator'!S8)/1000,"")</f>
        <v>14.3</v>
      </c>
      <c r="L58">
        <f>IF(OR('Bulk Calculator'!R8="",'Bulk Calculator'!S8="",G58=""),0,IF(K58&gt;='Bulk Calculator'!R8,1,0))</f>
        <v>1</v>
      </c>
      <c r="M58">
        <f>IF(AND(H58=1,I58&lt;='OS-DORAEN'!$B$6,J58&lt;='OS-DORAEN'!$B$5,L58=1),1,0)</f>
        <v>1</v>
      </c>
      <c r="N58" t="str">
        <f t="shared" si="0"/>
        <v>R/X</v>
      </c>
    </row>
    <row r="59" spans="1:14" ht="15" customHeight="1" x14ac:dyDescent="0.35">
      <c r="A59">
        <v>8</v>
      </c>
      <c r="B59">
        <v>35</v>
      </c>
      <c r="C59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Master'!$F:$F,B59),"")</f>
        <v>117</v>
      </c>
      <c r="D59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Master'!$F:$F,B59),"")</f>
        <v>1.1100000000000001</v>
      </c>
      <c r="E59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Master'!$F:$F,B59),"")</f>
        <v>1.1100000000000001</v>
      </c>
      <c r="F59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Master'!$F:$F,B59),"")</f>
        <v>0.08</v>
      </c>
      <c r="G59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Master'!$F:$F,B59),"")</f>
        <v>143</v>
      </c>
      <c r="H59">
        <f>IF(AND(ISNUMBER(C59),C59&gt;='Bulk Calculator'!U8/('Bulk Calculator'!J8*'Bulk Calculator'!L8)),1,0)</f>
        <v>1</v>
      </c>
      <c r="I59">
        <f>IFERROR(IF(AND(ISNUMBER(E59),ISNUMBER(F59),E59&gt;0,F59&gt;0),SQRT(3)*'Bulk Calculator'!O8*'Bulk Calculator'!AA8*((E59*'Bulk Calculator'!Q8)+(F59*SQRT(1-'Bulk Calculator'!Q8^2)))/'Bulk Calculator'!J8/'Bulk Calculator'!K8*100,D59*'Bulk Calculator'!AA8*'Bulk Calculator'!O8/'Bulk Calculator'!J8/'Bulk Calculator'!K8*100),"")</f>
        <v>1.2089776264699121</v>
      </c>
      <c r="J59">
        <f>IFERROR(IF(AND(ISNUMBER(E59),ISNUMBER(F59),E59&gt;0,F59&gt;0),SQRT(3)*'Bulk Calculator'!O8*'Bulk Calculator'!U8*((E59*'Bulk Calculator'!M8)+(F59*SQRT(1-'Bulk Calculator'!M8^2)))/'Bulk Calculator'!J8/'Bulk Calculator'!K8*100,D59*'Bulk Calculator'!U8*'Bulk Calculator'!O8/'Bulk Calculator'!J8/'Bulk Calculator'!K8*100),"")</f>
        <v>1.9408352539954057</v>
      </c>
      <c r="K59">
        <f>IFERROR(G59*B59*'Bulk Calculator'!J8/SQRT('Bulk Calculator'!S8)/1000,"")</f>
        <v>10.01</v>
      </c>
      <c r="L59">
        <f>IF(OR('Bulk Calculator'!R8="",'Bulk Calculator'!S8="",G59=""),0,IF(K59&gt;='Bulk Calculator'!R8,1,0))</f>
        <v>0</v>
      </c>
      <c r="M59">
        <f>IF(AND(H59=1,I59&lt;='OS-DORAEN'!$B$6,J59&lt;='OS-DORAEN'!$B$5,L59=1),1,0)</f>
        <v>0</v>
      </c>
      <c r="N59" t="str">
        <f t="shared" si="0"/>
        <v>R/X</v>
      </c>
    </row>
    <row r="60" spans="1:14" ht="15" customHeight="1" x14ac:dyDescent="0.35">
      <c r="A60">
        <v>8</v>
      </c>
      <c r="B60">
        <v>25</v>
      </c>
      <c r="C60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Master'!$F:$F,B60),"")</f>
        <v>96</v>
      </c>
      <c r="D60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Master'!$F:$F,B60),"")</f>
        <v>1.54</v>
      </c>
      <c r="E60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Master'!$F:$F,B60),"")</f>
        <v>1.54</v>
      </c>
      <c r="F60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Master'!$F:$F,B60),"")</f>
        <v>0.08</v>
      </c>
      <c r="G60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Master'!$F:$F,B60),"")</f>
        <v>143</v>
      </c>
      <c r="H60">
        <f>IF(AND(ISNUMBER(C60),C60&gt;='Bulk Calculator'!U8/('Bulk Calculator'!J8*'Bulk Calculator'!L8)),1,0)</f>
        <v>1</v>
      </c>
      <c r="I60">
        <f>IFERROR(IF(AND(ISNUMBER(E60),ISNUMBER(F60),E60&gt;0,F60&gt;0),SQRT(3)*'Bulk Calculator'!O8*'Bulk Calculator'!AA8*((E60*'Bulk Calculator'!Q8)+(F60*SQRT(1-'Bulk Calculator'!Q8^2)))/'Bulk Calculator'!J8/'Bulk Calculator'!K8*100,D60*'Bulk Calculator'!AA8*'Bulk Calculator'!O8/'Bulk Calculator'!J8/'Bulk Calculator'!K8*100),"")</f>
        <v>1.5899997291351493</v>
      </c>
      <c r="J60">
        <f>IFERROR(IF(AND(ISNUMBER(E60),ISNUMBER(F60),E60&gt;0,F60&gt;0),SQRT(3)*'Bulk Calculator'!O8*'Bulk Calculator'!U8*((E60*'Bulk Calculator'!M8)+(F60*SQRT(1-'Bulk Calculator'!M8^2)))/'Bulk Calculator'!J8/'Bulk Calculator'!K8*100,D60*'Bulk Calculator'!U8*'Bulk Calculator'!O8/'Bulk Calculator'!J8/'Bulk Calculator'!K8*100),"")</f>
        <v>2.6605436701408549</v>
      </c>
      <c r="K60">
        <f>IFERROR(G60*B60*'Bulk Calculator'!J8/SQRT('Bulk Calculator'!S8)/1000,"")</f>
        <v>7.15</v>
      </c>
      <c r="L60">
        <f>IF(OR('Bulk Calculator'!R8="",'Bulk Calculator'!S8="",G60=""),0,IF(K60&gt;='Bulk Calculator'!R8,1,0))</f>
        <v>0</v>
      </c>
      <c r="M60">
        <f>IF(AND(H60=1,I60&lt;='OS-DORAEN'!$B$6,J60&lt;='OS-DORAEN'!$B$5,L60=1),1,0)</f>
        <v>0</v>
      </c>
      <c r="N60" t="str">
        <f t="shared" si="0"/>
        <v>R/X</v>
      </c>
    </row>
    <row r="61" spans="1:14" ht="15" customHeight="1" x14ac:dyDescent="0.35">
      <c r="A61">
        <v>8</v>
      </c>
      <c r="B61">
        <v>16</v>
      </c>
      <c r="C61">
        <f>IFERROR(SUMIFS('Cable Data Master'!$G:$G,'Cable Data Master'!$A:$A,'Bulk Calculator'!$BF8,'Cable Data Master'!$B:$B,'Bulk Calculator'!$BG8,'Cable Data Master'!$C:$C,'Bulk Calculator'!$BH8,'Cable Data Master'!$D:$D,'Bulk Calculator'!$BI8,'Cable Data Master'!$E:$E,'Bulk Calculator'!$BJ8,'Cable Data Master'!$F:$F,B61),"")</f>
        <v>0</v>
      </c>
      <c r="D61">
        <f>IFERROR(SUMIFS('Cable Data Master'!$K:$K,'Cable Data Master'!$A:$A,'Bulk Calculator'!$BF8,'Cable Data Master'!$B:$B,'Bulk Calculator'!$BG8,'Cable Data Master'!$C:$C,'Bulk Calculator'!$BH8,'Cable Data Master'!$D:$D,'Bulk Calculator'!$BI8,'Cable Data Master'!$E:$E,'Bulk Calculator'!$BJ8,'Cable Data Master'!$F:$F,B61),"")</f>
        <v>0</v>
      </c>
      <c r="E61">
        <f>IFERROR(SUMIFS('Cable Data Master'!$H:$H,'Cable Data Master'!$A:$A,'Bulk Calculator'!$BF8,'Cable Data Master'!$B:$B,'Bulk Calculator'!$BG8,'Cable Data Master'!$C:$C,'Bulk Calculator'!$BH8,'Cable Data Master'!$D:$D,'Bulk Calculator'!$BI8,'Cable Data Master'!$E:$E,'Bulk Calculator'!$BJ8,'Cable Data Master'!$F:$F,B61),"")</f>
        <v>0</v>
      </c>
      <c r="F61">
        <f>IFERROR(SUMIFS('Cable Data Master'!$I:$I,'Cable Data Master'!$A:$A,'Bulk Calculator'!$BF8,'Cable Data Master'!$B:$B,'Bulk Calculator'!$BG8,'Cable Data Master'!$C:$C,'Bulk Calculator'!$BH8,'Cable Data Master'!$D:$D,'Bulk Calculator'!$BI8,'Cable Data Master'!$E:$E,'Bulk Calculator'!$BJ8,'Cable Data Master'!$F:$F,B61),"")</f>
        <v>0</v>
      </c>
      <c r="G61">
        <f>IFERROR(SUMIFS('Cable Data Master'!$J:$J,'Cable Data Master'!$A:$A,'Bulk Calculator'!$BF8,'Cable Data Master'!$B:$B,'Bulk Calculator'!$BG8,'Cable Data Master'!$C:$C,'Bulk Calculator'!$BH8,'Cable Data Master'!$D:$D,'Bulk Calculator'!$BI8,'Cable Data Master'!$E:$E,'Bulk Calculator'!$BJ8,'Cable Data Master'!$F:$F,B61),"")</f>
        <v>0</v>
      </c>
      <c r="H61">
        <f>IF(AND(ISNUMBER(C61),C61&gt;='Bulk Calculator'!U8/('Bulk Calculator'!J8*'Bulk Calculator'!L8)),1,0)</f>
        <v>0</v>
      </c>
      <c r="I61">
        <f>IFERROR(IF(AND(ISNUMBER(E61),ISNUMBER(F61),E61&gt;0,F61&gt;0),SQRT(3)*'Bulk Calculator'!O8*'Bulk Calculator'!AA8*((E61*'Bulk Calculator'!Q8)+(F61*SQRT(1-'Bulk Calculator'!Q8^2)))/'Bulk Calculator'!J8/'Bulk Calculator'!K8*100,D61*'Bulk Calculator'!AA8*'Bulk Calculator'!O8/'Bulk Calculator'!J8/'Bulk Calculator'!K8*100),"")</f>
        <v>0</v>
      </c>
      <c r="J61">
        <f>IFERROR(IF(AND(ISNUMBER(E61),ISNUMBER(F61),E61&gt;0,F61&gt;0),SQRT(3)*'Bulk Calculator'!O8*'Bulk Calculator'!U8*((E61*'Bulk Calculator'!M8)+(F61*SQRT(1-'Bulk Calculator'!M8^2)))/'Bulk Calculator'!J8/'Bulk Calculator'!K8*100,D61*'Bulk Calculator'!U8*'Bulk Calculator'!O8/'Bulk Calculator'!J8/'Bulk Calculator'!K8*100),"")</f>
        <v>0</v>
      </c>
      <c r="K61">
        <f>IFERROR(G61*B61*'Bulk Calculator'!J8/SQRT('Bulk Calculator'!S8)/1000,"")</f>
        <v>0</v>
      </c>
      <c r="L61">
        <f>IF(OR('Bulk Calculator'!R8="",'Bulk Calculator'!S8="",G61=""),0,IF(K61&gt;='Bulk Calculator'!R8,1,0))</f>
        <v>0</v>
      </c>
      <c r="M61">
        <f>IF(AND(H61=1,I61&lt;='OS-DORAEN'!$B$6,J61&lt;='OS-DORAEN'!$B$5,L61=1),1,0)</f>
        <v>0</v>
      </c>
      <c r="N61" t="str">
        <f t="shared" si="0"/>
        <v>Manufacturer VD Ref</v>
      </c>
    </row>
    <row r="62" spans="1:14" ht="15" customHeight="1" x14ac:dyDescent="0.35">
      <c r="A62">
        <v>9</v>
      </c>
      <c r="B62">
        <v>400</v>
      </c>
      <c r="C62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Master'!$F:$F,B62),"")</f>
        <v>530</v>
      </c>
      <c r="D62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Master'!$F:$F,B62),"")</f>
        <v>0.1023</v>
      </c>
      <c r="E62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Master'!$F:$F,B62),"")</f>
        <v>0.1023</v>
      </c>
      <c r="F62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Master'!$F:$F,B62),"")</f>
        <v>7.0000000000000007E-2</v>
      </c>
      <c r="G62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Master'!$F:$F,B62),"")</f>
        <v>143</v>
      </c>
      <c r="H62">
        <f>IF(AND(ISNUMBER(C62),C62&gt;='Bulk Calculator'!U9/('Bulk Calculator'!J9*'Bulk Calculator'!L9)),1,0)</f>
        <v>1</v>
      </c>
      <c r="I62">
        <f>IFERROR(IF(AND(ISNUMBER(E62),ISNUMBER(F62),E62&gt;0,F62&gt;0),SQRT(3)*'Bulk Calculator'!O9*'Bulk Calculator'!AA9*((E62*'Bulk Calculator'!Q9)+(F62*SQRT(1-'Bulk Calculator'!Q9^2)))/'Bulk Calculator'!J9/'Bulk Calculator'!K9*100,D62*'Bulk Calculator'!AA9*'Bulk Calculator'!O9/'Bulk Calculator'!J9/'Bulk Calculator'!K9*100),"")</f>
        <v>0.21983612624230628</v>
      </c>
      <c r="J62">
        <f>IFERROR(IF(AND(ISNUMBER(E62),ISNUMBER(F62),E62&gt;0,F62&gt;0),SQRT(3)*'Bulk Calculator'!O9*'Bulk Calculator'!U9*((E62*'Bulk Calculator'!M9)+(F62*SQRT(1-'Bulk Calculator'!M9^2)))/'Bulk Calculator'!J9/'Bulk Calculator'!K9*100,D62*'Bulk Calculator'!U9*'Bulk Calculator'!O9/'Bulk Calculator'!J9/'Bulk Calculator'!K9*100),"")</f>
        <v>0.18620053769385708</v>
      </c>
      <c r="K62">
        <f>IFERROR(G62*B62*'Bulk Calculator'!J9/SQRT('Bulk Calculator'!S9)/1000,"")</f>
        <v>114.4</v>
      </c>
      <c r="L62">
        <f>IF(OR('Bulk Calculator'!R9="",'Bulk Calculator'!S9="",G62=""),0,IF(K62&gt;='Bulk Calculator'!R9,1,0))</f>
        <v>1</v>
      </c>
      <c r="M62">
        <f>IF(AND(H62=1,I62&lt;='OS-DORAEN'!$B$6,J62&lt;='OS-DORAEN'!$B$5,L62=1),1,0)</f>
        <v>1</v>
      </c>
      <c r="N62" t="str">
        <f t="shared" si="0"/>
        <v>R/X</v>
      </c>
    </row>
    <row r="63" spans="1:14" ht="15" customHeight="1" x14ac:dyDescent="0.35">
      <c r="A63">
        <v>9</v>
      </c>
      <c r="B63">
        <v>300</v>
      </c>
      <c r="C63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Master'!$F:$F,B63),"")</f>
        <v>455</v>
      </c>
      <c r="D63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Master'!$F:$F,B63),"")</f>
        <v>0.13</v>
      </c>
      <c r="E63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Master'!$F:$F,B63),"")</f>
        <v>0.13</v>
      </c>
      <c r="F63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Master'!$F:$F,B63),"")</f>
        <v>7.0999999999999994E-2</v>
      </c>
      <c r="G63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Master'!$F:$F,B63),"")</f>
        <v>143</v>
      </c>
      <c r="H63">
        <f>IF(AND(ISNUMBER(C63),C63&gt;='Bulk Calculator'!U9/('Bulk Calculator'!J9*'Bulk Calculator'!L9)),1,0)</f>
        <v>1</v>
      </c>
      <c r="I63">
        <f>IFERROR(IF(AND(ISNUMBER(E63),ISNUMBER(F63),E63&gt;0,F63&gt;0),SQRT(3)*'Bulk Calculator'!O9*'Bulk Calculator'!AA9*((E63*'Bulk Calculator'!Q9)+(F63*SQRT(1-'Bulk Calculator'!Q9^2)))/'Bulk Calculator'!J9/'Bulk Calculator'!K9*100,D63*'Bulk Calculator'!AA9*'Bulk Calculator'!O9/'Bulk Calculator'!J9/'Bulk Calculator'!K9*100),"")</f>
        <v>0.24073114455470174</v>
      </c>
      <c r="J63">
        <f>IFERROR(IF(AND(ISNUMBER(E63),ISNUMBER(F63),E63&gt;0,F63&gt;0),SQRT(3)*'Bulk Calculator'!O9*'Bulk Calculator'!U9*((E63*'Bulk Calculator'!M9)+(F63*SQRT(1-'Bulk Calculator'!M9^2)))/'Bulk Calculator'!J9/'Bulk Calculator'!K9*100,D63*'Bulk Calculator'!U9*'Bulk Calculator'!O9/'Bulk Calculator'!J9/'Bulk Calculator'!K9*100),"")</f>
        <v>0.22239682735239055</v>
      </c>
      <c r="K63">
        <f>IFERROR(G63*B63*'Bulk Calculator'!J9/SQRT('Bulk Calculator'!S9)/1000,"")</f>
        <v>85.8</v>
      </c>
      <c r="L63">
        <f>IF(OR('Bulk Calculator'!R9="",'Bulk Calculator'!S9="",G63=""),0,IF(K63&gt;='Bulk Calculator'!R9,1,0))</f>
        <v>1</v>
      </c>
      <c r="M63">
        <f>IF(AND(H63=1,I63&lt;='OS-DORAEN'!$B$6,J63&lt;='OS-DORAEN'!$B$5,L63=1),1,0)</f>
        <v>1</v>
      </c>
      <c r="N63" t="str">
        <f t="shared" si="0"/>
        <v>R/X</v>
      </c>
    </row>
    <row r="64" spans="1:14" ht="15" customHeight="1" x14ac:dyDescent="0.35">
      <c r="A64">
        <v>9</v>
      </c>
      <c r="B64">
        <v>240</v>
      </c>
      <c r="C64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Master'!$F:$F,B64),"")</f>
        <v>399</v>
      </c>
      <c r="D64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Master'!$F:$F,B64),"")</f>
        <v>0.16200000000000001</v>
      </c>
      <c r="E64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Master'!$F:$F,B64),"")</f>
        <v>0.16200000000000001</v>
      </c>
      <c r="F64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Master'!$F:$F,B64),"")</f>
        <v>7.1999999999999995E-2</v>
      </c>
      <c r="G64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Master'!$F:$F,B64),"")</f>
        <v>143</v>
      </c>
      <c r="H64">
        <f>IF(AND(ISNUMBER(C64),C64&gt;='Bulk Calculator'!U9/('Bulk Calculator'!J9*'Bulk Calculator'!L9)),1,0)</f>
        <v>1</v>
      </c>
      <c r="I64">
        <f>IFERROR(IF(AND(ISNUMBER(E64),ISNUMBER(F64),E64&gt;0,F64&gt;0),SQRT(3)*'Bulk Calculator'!O9*'Bulk Calculator'!AA9*((E64*'Bulk Calculator'!Q9)+(F64*SQRT(1-'Bulk Calculator'!Q9^2)))/'Bulk Calculator'!J9/'Bulk Calculator'!K9*100,D64*'Bulk Calculator'!AA9*'Bulk Calculator'!O9/'Bulk Calculator'!J9/'Bulk Calculator'!K9*100),"")</f>
        <v>0.26453578619654078</v>
      </c>
      <c r="J64">
        <f>IFERROR(IF(AND(ISNUMBER(E64),ISNUMBER(F64),E64&gt;0,F64&gt;0),SQRT(3)*'Bulk Calculator'!O9*'Bulk Calculator'!U9*((E64*'Bulk Calculator'!M9)+(F64*SQRT(1-'Bulk Calculator'!M9^2)))/'Bulk Calculator'!J9/'Bulk Calculator'!K9*100,D64*'Bulk Calculator'!U9*'Bulk Calculator'!O9/'Bulk Calculator'!J9/'Bulk Calculator'!K9*100),"")</f>
        <v>0.26408907218876204</v>
      </c>
      <c r="K64">
        <f>IFERROR(G64*B64*'Bulk Calculator'!J9/SQRT('Bulk Calculator'!S9)/1000,"")</f>
        <v>68.64</v>
      </c>
      <c r="L64">
        <f>IF(OR('Bulk Calculator'!R9="",'Bulk Calculator'!S9="",G64=""),0,IF(K64&gt;='Bulk Calculator'!R9,1,0))</f>
        <v>1</v>
      </c>
      <c r="M64">
        <f>IF(AND(H64=1,I64&lt;='OS-DORAEN'!$B$6,J64&lt;='OS-DORAEN'!$B$5,L64=1),1,0)</f>
        <v>1</v>
      </c>
      <c r="N64" t="str">
        <f t="shared" si="0"/>
        <v>R/X</v>
      </c>
    </row>
    <row r="65" spans="1:14" ht="15" customHeight="1" x14ac:dyDescent="0.35">
      <c r="A65">
        <v>9</v>
      </c>
      <c r="B65">
        <v>185</v>
      </c>
      <c r="C65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Master'!$F:$F,B65),"")</f>
        <v>337</v>
      </c>
      <c r="D65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Master'!$F:$F,B65),"")</f>
        <v>0.21099999999999999</v>
      </c>
      <c r="E65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Master'!$F:$F,B65),"")</f>
        <v>0.21099999999999999</v>
      </c>
      <c r="F65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Master'!$F:$F,B65),"")</f>
        <v>7.1999999999999995E-2</v>
      </c>
      <c r="G65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Master'!$F:$F,B65),"")</f>
        <v>143</v>
      </c>
      <c r="H65">
        <f>IF(AND(ISNUMBER(C65),C65&gt;='Bulk Calculator'!U9/('Bulk Calculator'!J9*'Bulk Calculator'!L9)),1,0)</f>
        <v>1</v>
      </c>
      <c r="I65">
        <f>IFERROR(IF(AND(ISNUMBER(E65),ISNUMBER(F65),E65&gt;0,F65&gt;0),SQRT(3)*'Bulk Calculator'!O9*'Bulk Calculator'!AA9*((E65*'Bulk Calculator'!Q9)+(F65*SQRT(1-'Bulk Calculator'!Q9^2)))/'Bulk Calculator'!J9/'Bulk Calculator'!K9*100,D65*'Bulk Calculator'!AA9*'Bulk Calculator'!O9/'Bulk Calculator'!J9/'Bulk Calculator'!K9*100),"")</f>
        <v>0.29769195902043333</v>
      </c>
      <c r="J65">
        <f>IFERROR(IF(AND(ISNUMBER(E65),ISNUMBER(F65),E65&gt;0,F65&gt;0),SQRT(3)*'Bulk Calculator'!O9*'Bulk Calculator'!U9*((E65*'Bulk Calculator'!M9)+(F65*SQRT(1-'Bulk Calculator'!M9^2)))/'Bulk Calculator'!J9/'Bulk Calculator'!K9*100,D65*'Bulk Calculator'!U9*'Bulk Calculator'!O9/'Bulk Calculator'!J9/'Bulk Calculator'!K9*100),"")</f>
        <v>0.32671739863389243</v>
      </c>
      <c r="K65">
        <f>IFERROR(G65*B65*'Bulk Calculator'!J9/SQRT('Bulk Calculator'!S9)/1000,"")</f>
        <v>52.91</v>
      </c>
      <c r="L65">
        <f>IF(OR('Bulk Calculator'!R9="",'Bulk Calculator'!S9="",G65=""),0,IF(K65&gt;='Bulk Calculator'!R9,1,0))</f>
        <v>1</v>
      </c>
      <c r="M65">
        <f>IF(AND(H65=1,I65&lt;='OS-DORAEN'!$B$6,J65&lt;='OS-DORAEN'!$B$5,L65=1),1,0)</f>
        <v>1</v>
      </c>
      <c r="N65" t="str">
        <f t="shared" si="0"/>
        <v>R/X</v>
      </c>
    </row>
    <row r="66" spans="1:14" ht="15" customHeight="1" x14ac:dyDescent="0.35">
      <c r="A66">
        <v>9</v>
      </c>
      <c r="B66">
        <v>150</v>
      </c>
      <c r="C66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Master'!$F:$F,B66),"")</f>
        <v>292</v>
      </c>
      <c r="D66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Master'!$F:$F,B66),"")</f>
        <v>0.26500000000000001</v>
      </c>
      <c r="E66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Master'!$F:$F,B66),"")</f>
        <v>0.26500000000000001</v>
      </c>
      <c r="F66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Master'!$F:$F,B66),"")</f>
        <v>7.1999999999999995E-2</v>
      </c>
      <c r="G66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Master'!$F:$F,B66),"")</f>
        <v>143</v>
      </c>
      <c r="H66">
        <f>IF(AND(ISNUMBER(C66),C66&gt;='Bulk Calculator'!U9/('Bulk Calculator'!J9*'Bulk Calculator'!L9)),1,0)</f>
        <v>1</v>
      </c>
      <c r="I66">
        <f>IFERROR(IF(AND(ISNUMBER(E66),ISNUMBER(F66),E66&gt;0,F66&gt;0),SQRT(3)*'Bulk Calculator'!O9*'Bulk Calculator'!AA9*((E66*'Bulk Calculator'!Q9)+(F66*SQRT(1-'Bulk Calculator'!Q9^2)))/'Bulk Calculator'!J9/'Bulk Calculator'!K9*100,D66*'Bulk Calculator'!AA9*'Bulk Calculator'!O9/'Bulk Calculator'!J9/'Bulk Calculator'!K9*100),"")</f>
        <v>0.33423141478553947</v>
      </c>
      <c r="J66">
        <f>IFERROR(IF(AND(ISNUMBER(E66),ISNUMBER(F66),E66&gt;0,F66&gt;0),SQRT(3)*'Bulk Calculator'!O9*'Bulk Calculator'!U9*((E66*'Bulk Calculator'!M9)+(F66*SQRT(1-'Bulk Calculator'!M9^2)))/'Bulk Calculator'!J9/'Bulk Calculator'!K9*100,D66*'Bulk Calculator'!U9*'Bulk Calculator'!O9/'Bulk Calculator'!J9/'Bulk Calculator'!K9*100),"")</f>
        <v>0.39573637063464834</v>
      </c>
      <c r="K66">
        <f>IFERROR(G66*B66*'Bulk Calculator'!J9/SQRT('Bulk Calculator'!S9)/1000,"")</f>
        <v>42.9</v>
      </c>
      <c r="L66">
        <f>IF(OR('Bulk Calculator'!R9="",'Bulk Calculator'!S9="",G66=""),0,IF(K66&gt;='Bulk Calculator'!R9,1,0))</f>
        <v>1</v>
      </c>
      <c r="M66">
        <f>IF(AND(H66=1,I66&lt;='OS-DORAEN'!$B$6,J66&lt;='OS-DORAEN'!$B$5,L66=1),1,0)</f>
        <v>1</v>
      </c>
      <c r="N66" t="str">
        <f t="shared" ref="N66:N129" si="1">IF(AND(ISNUMBER(E66),ISNUMBER(F66),E66&gt;0,F66&gt;0),"R/X","Manufacturer VD Ref")</f>
        <v>R/X</v>
      </c>
    </row>
    <row r="67" spans="1:14" ht="15" customHeight="1" x14ac:dyDescent="0.35">
      <c r="A67">
        <v>9</v>
      </c>
      <c r="B67">
        <v>120</v>
      </c>
      <c r="C67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Master'!$F:$F,B67),"")</f>
        <v>257</v>
      </c>
      <c r="D67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Master'!$F:$F,B67),"")</f>
        <v>0.32500000000000001</v>
      </c>
      <c r="E67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Master'!$F:$F,B67),"")</f>
        <v>0.32500000000000001</v>
      </c>
      <c r="F67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Master'!$F:$F,B67),"")</f>
        <v>7.1999999999999995E-2</v>
      </c>
      <c r="G67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Master'!$F:$F,B67),"")</f>
        <v>143</v>
      </c>
      <c r="H67">
        <f>IF(AND(ISNUMBER(C67),C67&gt;='Bulk Calculator'!U9/('Bulk Calculator'!J9*'Bulk Calculator'!L9)),1,0)</f>
        <v>1</v>
      </c>
      <c r="I67">
        <f>IFERROR(IF(AND(ISNUMBER(E67),ISNUMBER(F67),E67&gt;0,F67&gt;0),SQRT(3)*'Bulk Calculator'!O9*'Bulk Calculator'!AA9*((E67*'Bulk Calculator'!Q9)+(F67*SQRT(1-'Bulk Calculator'!Q9^2)))/'Bulk Calculator'!J9/'Bulk Calculator'!K9*100,D67*'Bulk Calculator'!AA9*'Bulk Calculator'!O9/'Bulk Calculator'!J9/'Bulk Calculator'!K9*100),"")</f>
        <v>0.37483081008010172</v>
      </c>
      <c r="J67">
        <f>IFERROR(IF(AND(ISNUMBER(E67),ISNUMBER(F67),E67&gt;0,F67&gt;0),SQRT(3)*'Bulk Calculator'!O9*'Bulk Calculator'!U9*((E67*'Bulk Calculator'!M9)+(F67*SQRT(1-'Bulk Calculator'!M9^2)))/'Bulk Calculator'!J9/'Bulk Calculator'!K9*100,D67*'Bulk Calculator'!U9*'Bulk Calculator'!O9/'Bulk Calculator'!J9/'Bulk Calculator'!K9*100),"")</f>
        <v>0.47242411730215489</v>
      </c>
      <c r="K67">
        <f>IFERROR(G67*B67*'Bulk Calculator'!J9/SQRT('Bulk Calculator'!S9)/1000,"")</f>
        <v>34.32</v>
      </c>
      <c r="L67">
        <f>IF(OR('Bulk Calculator'!R9="",'Bulk Calculator'!S9="",G67=""),0,IF(K67&gt;='Bulk Calculator'!R9,1,0))</f>
        <v>1</v>
      </c>
      <c r="M67">
        <f>IF(AND(H67=1,I67&lt;='OS-DORAEN'!$B$6,J67&lt;='OS-DORAEN'!$B$5,L67=1),1,0)</f>
        <v>1</v>
      </c>
      <c r="N67" t="str">
        <f t="shared" si="1"/>
        <v>R/X</v>
      </c>
    </row>
    <row r="68" spans="1:14" ht="15" customHeight="1" x14ac:dyDescent="0.35">
      <c r="A68">
        <v>9</v>
      </c>
      <c r="B68">
        <v>95</v>
      </c>
      <c r="C68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Master'!$F:$F,B68),"")</f>
        <v>221</v>
      </c>
      <c r="D68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Master'!$F:$F,B68),"")</f>
        <v>0.41</v>
      </c>
      <c r="E68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Master'!$F:$F,B68),"")</f>
        <v>0.41</v>
      </c>
      <c r="F68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Master'!$F:$F,B68),"")</f>
        <v>7.3999999999999996E-2</v>
      </c>
      <c r="G68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Master'!$F:$F,B68),"")</f>
        <v>143</v>
      </c>
      <c r="H68">
        <f>IF(AND(ISNUMBER(C68),C68&gt;='Bulk Calculator'!U9/('Bulk Calculator'!J9*'Bulk Calculator'!L9)),1,0)</f>
        <v>1</v>
      </c>
      <c r="I68">
        <f>IFERROR(IF(AND(ISNUMBER(E68),ISNUMBER(F68),E68&gt;0,F68&gt;0),SQRT(3)*'Bulk Calculator'!O9*'Bulk Calculator'!AA9*((E68*'Bulk Calculator'!Q9)+(F68*SQRT(1-'Bulk Calculator'!Q9^2)))/'Bulk Calculator'!J9/'Bulk Calculator'!K9*100,D68*'Bulk Calculator'!AA9*'Bulk Calculator'!O9/'Bulk Calculator'!J9/'Bulk Calculator'!K9*100),"")</f>
        <v>0.43664988171687669</v>
      </c>
      <c r="J68">
        <f>IFERROR(IF(AND(ISNUMBER(E68),ISNUMBER(F68),E68&gt;0,F68&gt;0),SQRT(3)*'Bulk Calculator'!O9*'Bulk Calculator'!U9*((E68*'Bulk Calculator'!M9)+(F68*SQRT(1-'Bulk Calculator'!M9^2)))/'Bulk Calculator'!J9/'Bulk Calculator'!K9*100,D68*'Bulk Calculator'!U9*'Bulk Calculator'!O9/'Bulk Calculator'!J9/'Bulk Calculator'!K9*100),"")</f>
        <v>0.58264931830852518</v>
      </c>
      <c r="K68">
        <f>IFERROR(G68*B68*'Bulk Calculator'!J9/SQRT('Bulk Calculator'!S9)/1000,"")</f>
        <v>27.17</v>
      </c>
      <c r="L68">
        <f>IF(OR('Bulk Calculator'!R9="",'Bulk Calculator'!S9="",G68=""),0,IF(K68&gt;='Bulk Calculator'!R9,1,0))</f>
        <v>1</v>
      </c>
      <c r="M68">
        <f>IF(AND(H68=1,I68&lt;='OS-DORAEN'!$B$6,J68&lt;='OS-DORAEN'!$B$5,L68=1),1,0)</f>
        <v>1</v>
      </c>
      <c r="N68" t="str">
        <f t="shared" si="1"/>
        <v>R/X</v>
      </c>
    </row>
    <row r="69" spans="1:14" ht="15" customHeight="1" x14ac:dyDescent="0.35">
      <c r="A69">
        <v>9</v>
      </c>
      <c r="B69">
        <v>70</v>
      </c>
      <c r="C69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Master'!$F:$F,B69),"")</f>
        <v>179</v>
      </c>
      <c r="D69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Master'!$F:$F,B69),"")</f>
        <v>0.56699999999999995</v>
      </c>
      <c r="E69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Master'!$F:$F,B69),"")</f>
        <v>0.56699999999999995</v>
      </c>
      <c r="F69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Master'!$F:$F,B69),"")</f>
        <v>7.6999999999999999E-2</v>
      </c>
      <c r="G69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Master'!$F:$F,B69),"")</f>
        <v>143</v>
      </c>
      <c r="H69">
        <f>IF(AND(ISNUMBER(C69),C69&gt;='Bulk Calculator'!U9/('Bulk Calculator'!J9*'Bulk Calculator'!L9)),1,0)</f>
        <v>1</v>
      </c>
      <c r="I69">
        <f>IFERROR(IF(AND(ISNUMBER(E69),ISNUMBER(F69),E69&gt;0,F69&gt;0),SQRT(3)*'Bulk Calculator'!O9*'Bulk Calculator'!AA9*((E69*'Bulk Calculator'!Q9)+(F69*SQRT(1-'Bulk Calculator'!Q9^2)))/'Bulk Calculator'!J9/'Bulk Calculator'!K9*100,D69*'Bulk Calculator'!AA9*'Bulk Calculator'!O9/'Bulk Calculator'!J9/'Bulk Calculator'!K9*100),"")</f>
        <v>0.54933985852519895</v>
      </c>
      <c r="J69">
        <f>IFERROR(IF(AND(ISNUMBER(E69),ISNUMBER(F69),E69&gt;0,F69&gt;0),SQRT(3)*'Bulk Calculator'!O9*'Bulk Calculator'!U9*((E69*'Bulk Calculator'!M9)+(F69*SQRT(1-'Bulk Calculator'!M9^2)))/'Bulk Calculator'!J9/'Bulk Calculator'!K9*100,D69*'Bulk Calculator'!U9*'Bulk Calculator'!O9/'Bulk Calculator'!J9/'Bulk Calculator'!K9*100),"")</f>
        <v>0.78569192859627102</v>
      </c>
      <c r="K69">
        <f>IFERROR(G69*B69*'Bulk Calculator'!J9/SQRT('Bulk Calculator'!S9)/1000,"")</f>
        <v>20.02</v>
      </c>
      <c r="L69">
        <f>IF(OR('Bulk Calculator'!R9="",'Bulk Calculator'!S9="",G69=""),0,IF(K69&gt;='Bulk Calculator'!R9,1,0))</f>
        <v>1</v>
      </c>
      <c r="M69">
        <f>IF(AND(H69=1,I69&lt;='OS-DORAEN'!$B$6,J69&lt;='OS-DORAEN'!$B$5,L69=1),1,0)</f>
        <v>1</v>
      </c>
      <c r="N69" t="str">
        <f t="shared" si="1"/>
        <v>R/X</v>
      </c>
    </row>
    <row r="70" spans="1:14" ht="15" customHeight="1" x14ac:dyDescent="0.35">
      <c r="A70">
        <v>9</v>
      </c>
      <c r="B70">
        <v>50</v>
      </c>
      <c r="C70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Master'!$F:$F,B70),"")</f>
        <v>142</v>
      </c>
      <c r="D70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Master'!$F:$F,B70),"")</f>
        <v>0.82</v>
      </c>
      <c r="E70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Master'!$F:$F,B70),"")</f>
        <v>0.82</v>
      </c>
      <c r="F70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Master'!$F:$F,B70),"")</f>
        <v>7.8E-2</v>
      </c>
      <c r="G70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Master'!$F:$F,B70),"")</f>
        <v>143</v>
      </c>
      <c r="H70">
        <f>IF(AND(ISNUMBER(C70),C70&gt;='Bulk Calculator'!U9/('Bulk Calculator'!J9*'Bulk Calculator'!L9)),1,0)</f>
        <v>1</v>
      </c>
      <c r="I70">
        <f>IFERROR(IF(AND(ISNUMBER(E70),ISNUMBER(F70),E70&gt;0,F70&gt;0),SQRT(3)*'Bulk Calculator'!O9*'Bulk Calculator'!AA9*((E70*'Bulk Calculator'!Q9)+(F70*SQRT(1-'Bulk Calculator'!Q9^2)))/'Bulk Calculator'!J9/'Bulk Calculator'!K9*100,D70*'Bulk Calculator'!AA9*'Bulk Calculator'!O9/'Bulk Calculator'!J9/'Bulk Calculator'!K9*100),"")</f>
        <v>0.72268560616867583</v>
      </c>
      <c r="J70">
        <f>IFERROR(IF(AND(ISNUMBER(E70),ISNUMBER(F70),E70&gt;0,F70&gt;0),SQRT(3)*'Bulk Calculator'!O9*'Bulk Calculator'!U9*((E70*'Bulk Calculator'!M9)+(F70*SQRT(1-'Bulk Calculator'!M9^2)))/'Bulk Calculator'!J9/'Bulk Calculator'!K9*100,D70*'Bulk Calculator'!U9*'Bulk Calculator'!O9/'Bulk Calculator'!J9/'Bulk Calculator'!K9*100),"")</f>
        <v>1.1098507069912917</v>
      </c>
      <c r="K70">
        <f>IFERROR(G70*B70*'Bulk Calculator'!J9/SQRT('Bulk Calculator'!S9)/1000,"")</f>
        <v>14.3</v>
      </c>
      <c r="L70">
        <f>IF(OR('Bulk Calculator'!R9="",'Bulk Calculator'!S9="",G70=""),0,IF(K70&gt;='Bulk Calculator'!R9,1,0))</f>
        <v>1</v>
      </c>
      <c r="M70">
        <f>IF(AND(H70=1,I70&lt;='OS-DORAEN'!$B$6,J70&lt;='OS-DORAEN'!$B$5,L70=1),1,0)</f>
        <v>1</v>
      </c>
      <c r="N70" t="str">
        <f t="shared" si="1"/>
        <v>R/X</v>
      </c>
    </row>
    <row r="71" spans="1:14" ht="15" customHeight="1" x14ac:dyDescent="0.35">
      <c r="A71">
        <v>9</v>
      </c>
      <c r="B71">
        <v>35</v>
      </c>
      <c r="C71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Master'!$F:$F,B71),"")</f>
        <v>117</v>
      </c>
      <c r="D71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Master'!$F:$F,B71),"")</f>
        <v>1.1100000000000001</v>
      </c>
      <c r="E71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Master'!$F:$F,B71),"")</f>
        <v>1.1100000000000001</v>
      </c>
      <c r="F71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Master'!$F:$F,B71),"")</f>
        <v>0.08</v>
      </c>
      <c r="G71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Master'!$F:$F,B71),"")</f>
        <v>143</v>
      </c>
      <c r="H71">
        <f>IF(AND(ISNUMBER(C71),C71&gt;='Bulk Calculator'!U9/('Bulk Calculator'!J9*'Bulk Calculator'!L9)),1,0)</f>
        <v>1</v>
      </c>
      <c r="I71">
        <f>IFERROR(IF(AND(ISNUMBER(E71),ISNUMBER(F71),E71&gt;0,F71&gt;0),SQRT(3)*'Bulk Calculator'!O9*'Bulk Calculator'!AA9*((E71*'Bulk Calculator'!Q9)+(F71*SQRT(1-'Bulk Calculator'!Q9^2)))/'Bulk Calculator'!J9/'Bulk Calculator'!K9*100,D71*'Bulk Calculator'!AA9*'Bulk Calculator'!O9/'Bulk Calculator'!J9/'Bulk Calculator'!K9*100),"")</f>
        <v>0.92321927839520546</v>
      </c>
      <c r="J71">
        <f>IFERROR(IF(AND(ISNUMBER(E71),ISNUMBER(F71),E71&gt;0,F71&gt;0),SQRT(3)*'Bulk Calculator'!O9*'Bulk Calculator'!U9*((E71*'Bulk Calculator'!M9)+(F71*SQRT(1-'Bulk Calculator'!M9^2)))/'Bulk Calculator'!J9/'Bulk Calculator'!K9*100,D71*'Bulk Calculator'!U9*'Bulk Calculator'!O9/'Bulk Calculator'!J9/'Bulk Calculator'!K9*100),"")</f>
        <v>1.4820923757783095</v>
      </c>
      <c r="K71">
        <f>IFERROR(G71*B71*'Bulk Calculator'!J9/SQRT('Bulk Calculator'!S9)/1000,"")</f>
        <v>10.01</v>
      </c>
      <c r="L71">
        <f>IF(OR('Bulk Calculator'!R9="",'Bulk Calculator'!S9="",G71=""),0,IF(K71&gt;='Bulk Calculator'!R9,1,0))</f>
        <v>1</v>
      </c>
      <c r="M71">
        <f>IF(AND(H71=1,I71&lt;='OS-DORAEN'!$B$6,J71&lt;='OS-DORAEN'!$B$5,L71=1),1,0)</f>
        <v>1</v>
      </c>
      <c r="N71" t="str">
        <f t="shared" si="1"/>
        <v>R/X</v>
      </c>
    </row>
    <row r="72" spans="1:14" ht="15" customHeight="1" x14ac:dyDescent="0.35">
      <c r="A72">
        <v>9</v>
      </c>
      <c r="B72">
        <v>25</v>
      </c>
      <c r="C72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Master'!$F:$F,B72),"")</f>
        <v>96</v>
      </c>
      <c r="D72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Master'!$F:$F,B72),"")</f>
        <v>1.54</v>
      </c>
      <c r="E72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Master'!$F:$F,B72),"")</f>
        <v>1.54</v>
      </c>
      <c r="F72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Master'!$F:$F,B72),"")</f>
        <v>0.08</v>
      </c>
      <c r="G72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Master'!$F:$F,B72),"")</f>
        <v>143</v>
      </c>
      <c r="H72">
        <f>IF(AND(ISNUMBER(C72),C72&gt;='Bulk Calculator'!U9/('Bulk Calculator'!J9*'Bulk Calculator'!L9)),1,0)</f>
        <v>0</v>
      </c>
      <c r="I72">
        <f>IFERROR(IF(AND(ISNUMBER(E72),ISNUMBER(F72),E72&gt;0,F72&gt;0),SQRT(3)*'Bulk Calculator'!O9*'Bulk Calculator'!AA9*((E72*'Bulk Calculator'!Q9)+(F72*SQRT(1-'Bulk Calculator'!Q9^2)))/'Bulk Calculator'!J9/'Bulk Calculator'!K9*100,D72*'Bulk Calculator'!AA9*'Bulk Calculator'!O9/'Bulk Calculator'!J9/'Bulk Calculator'!K9*100),"")</f>
        <v>1.2141816113395685</v>
      </c>
      <c r="J72">
        <f>IFERROR(IF(AND(ISNUMBER(E72),ISNUMBER(F72),E72&gt;0,F72&gt;0),SQRT(3)*'Bulk Calculator'!O9*'Bulk Calculator'!U9*((E72*'Bulk Calculator'!M9)+(F72*SQRT(1-'Bulk Calculator'!M9^2)))/'Bulk Calculator'!J9/'Bulk Calculator'!K9*100,D72*'Bulk Calculator'!U9*'Bulk Calculator'!O9/'Bulk Calculator'!J9/'Bulk Calculator'!K9*100),"")</f>
        <v>2.0316878935621072</v>
      </c>
      <c r="K72">
        <f>IFERROR(G72*B72*'Bulk Calculator'!J9/SQRT('Bulk Calculator'!S9)/1000,"")</f>
        <v>7.15</v>
      </c>
      <c r="L72">
        <f>IF(OR('Bulk Calculator'!R9="",'Bulk Calculator'!S9="",G72=""),0,IF(K72&gt;='Bulk Calculator'!R9,1,0))</f>
        <v>0</v>
      </c>
      <c r="M72">
        <f>IF(AND(H72=1,I72&lt;='OS-DORAEN'!$B$6,J72&lt;='OS-DORAEN'!$B$5,L72=1),1,0)</f>
        <v>0</v>
      </c>
      <c r="N72" t="str">
        <f t="shared" si="1"/>
        <v>R/X</v>
      </c>
    </row>
    <row r="73" spans="1:14" ht="15" customHeight="1" x14ac:dyDescent="0.35">
      <c r="A73">
        <v>9</v>
      </c>
      <c r="B73">
        <v>16</v>
      </c>
      <c r="C73">
        <f>IFERROR(SUMIFS('Cable Data Master'!$G:$G,'Cable Data Master'!$A:$A,'Bulk Calculator'!$BF9,'Cable Data Master'!$B:$B,'Bulk Calculator'!$BG9,'Cable Data Master'!$C:$C,'Bulk Calculator'!$BH9,'Cable Data Master'!$D:$D,'Bulk Calculator'!$BI9,'Cable Data Master'!$E:$E,'Bulk Calculator'!$BJ9,'Cable Data Master'!$F:$F,B73),"")</f>
        <v>0</v>
      </c>
      <c r="D73">
        <f>IFERROR(SUMIFS('Cable Data Master'!$K:$K,'Cable Data Master'!$A:$A,'Bulk Calculator'!$BF9,'Cable Data Master'!$B:$B,'Bulk Calculator'!$BG9,'Cable Data Master'!$C:$C,'Bulk Calculator'!$BH9,'Cable Data Master'!$D:$D,'Bulk Calculator'!$BI9,'Cable Data Master'!$E:$E,'Bulk Calculator'!$BJ9,'Cable Data Master'!$F:$F,B73),"")</f>
        <v>0</v>
      </c>
      <c r="E73">
        <f>IFERROR(SUMIFS('Cable Data Master'!$H:$H,'Cable Data Master'!$A:$A,'Bulk Calculator'!$BF9,'Cable Data Master'!$B:$B,'Bulk Calculator'!$BG9,'Cable Data Master'!$C:$C,'Bulk Calculator'!$BH9,'Cable Data Master'!$D:$D,'Bulk Calculator'!$BI9,'Cable Data Master'!$E:$E,'Bulk Calculator'!$BJ9,'Cable Data Master'!$F:$F,B73),"")</f>
        <v>0</v>
      </c>
      <c r="F73">
        <f>IFERROR(SUMIFS('Cable Data Master'!$I:$I,'Cable Data Master'!$A:$A,'Bulk Calculator'!$BF9,'Cable Data Master'!$B:$B,'Bulk Calculator'!$BG9,'Cable Data Master'!$C:$C,'Bulk Calculator'!$BH9,'Cable Data Master'!$D:$D,'Bulk Calculator'!$BI9,'Cable Data Master'!$E:$E,'Bulk Calculator'!$BJ9,'Cable Data Master'!$F:$F,B73),"")</f>
        <v>0</v>
      </c>
      <c r="G73">
        <f>IFERROR(SUMIFS('Cable Data Master'!$J:$J,'Cable Data Master'!$A:$A,'Bulk Calculator'!$BF9,'Cable Data Master'!$B:$B,'Bulk Calculator'!$BG9,'Cable Data Master'!$C:$C,'Bulk Calculator'!$BH9,'Cable Data Master'!$D:$D,'Bulk Calculator'!$BI9,'Cable Data Master'!$E:$E,'Bulk Calculator'!$BJ9,'Cable Data Master'!$F:$F,B73),"")</f>
        <v>0</v>
      </c>
      <c r="H73">
        <f>IF(AND(ISNUMBER(C73),C73&gt;='Bulk Calculator'!U9/('Bulk Calculator'!J9*'Bulk Calculator'!L9)),1,0)</f>
        <v>0</v>
      </c>
      <c r="I73">
        <f>IFERROR(IF(AND(ISNUMBER(E73),ISNUMBER(F73),E73&gt;0,F73&gt;0),SQRT(3)*'Bulk Calculator'!O9*'Bulk Calculator'!AA9*((E73*'Bulk Calculator'!Q9)+(F73*SQRT(1-'Bulk Calculator'!Q9^2)))/'Bulk Calculator'!J9/'Bulk Calculator'!K9*100,D73*'Bulk Calculator'!AA9*'Bulk Calculator'!O9/'Bulk Calculator'!J9/'Bulk Calculator'!K9*100),"")</f>
        <v>0</v>
      </c>
      <c r="J73">
        <f>IFERROR(IF(AND(ISNUMBER(E73),ISNUMBER(F73),E73&gt;0,F73&gt;0),SQRT(3)*'Bulk Calculator'!O9*'Bulk Calculator'!U9*((E73*'Bulk Calculator'!M9)+(F73*SQRT(1-'Bulk Calculator'!M9^2)))/'Bulk Calculator'!J9/'Bulk Calculator'!K9*100,D73*'Bulk Calculator'!U9*'Bulk Calculator'!O9/'Bulk Calculator'!J9/'Bulk Calculator'!K9*100),"")</f>
        <v>0</v>
      </c>
      <c r="K73">
        <f>IFERROR(G73*B73*'Bulk Calculator'!J9/SQRT('Bulk Calculator'!S9)/1000,"")</f>
        <v>0</v>
      </c>
      <c r="L73">
        <f>IF(OR('Bulk Calculator'!R9="",'Bulk Calculator'!S9="",G73=""),0,IF(K73&gt;='Bulk Calculator'!R9,1,0))</f>
        <v>0</v>
      </c>
      <c r="M73">
        <f>IF(AND(H73=1,I73&lt;='OS-DORAEN'!$B$6,J73&lt;='OS-DORAEN'!$B$5,L73=1),1,0)</f>
        <v>0</v>
      </c>
      <c r="N73" t="str">
        <f t="shared" si="1"/>
        <v>Manufacturer VD Ref</v>
      </c>
    </row>
    <row r="74" spans="1:14" ht="15" customHeight="1" x14ac:dyDescent="0.35">
      <c r="A74">
        <v>10</v>
      </c>
      <c r="B74">
        <v>400</v>
      </c>
      <c r="C74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Master'!$F:$F,B74),"")</f>
        <v>530</v>
      </c>
      <c r="D74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Master'!$F:$F,B74),"")</f>
        <v>0.1023</v>
      </c>
      <c r="E74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Master'!$F:$F,B74),"")</f>
        <v>0.1023</v>
      </c>
      <c r="F74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Master'!$F:$F,B74),"")</f>
        <v>7.0000000000000007E-2</v>
      </c>
      <c r="G74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Master'!$F:$F,B74),"")</f>
        <v>143</v>
      </c>
      <c r="H74">
        <f>IF(AND(ISNUMBER(C74),C74&gt;='Bulk Calculator'!U10/('Bulk Calculator'!J10*'Bulk Calculator'!L10)),1,0)</f>
        <v>1</v>
      </c>
      <c r="I74">
        <f>IFERROR(IF(AND(ISNUMBER(E74),ISNUMBER(F74),E74&gt;0,F74&gt;0),SQRT(3)*'Bulk Calculator'!O10*'Bulk Calculator'!AA10*((E74*'Bulk Calculator'!Q10)+(F74*SQRT(1-'Bulk Calculator'!Q10^2)))/'Bulk Calculator'!J10/'Bulk Calculator'!K10*100,D74*'Bulk Calculator'!AA10*'Bulk Calculator'!O10/'Bulk Calculator'!J10/'Bulk Calculator'!K10*100),"")</f>
        <v>0.69091353961867696</v>
      </c>
      <c r="J74">
        <f>IFERROR(IF(AND(ISNUMBER(E74),ISNUMBER(F74),E74&gt;0,F74&gt;0),SQRT(3)*'Bulk Calculator'!O10*'Bulk Calculator'!U10*((E74*'Bulk Calculator'!M10)+(F74*SQRT(1-'Bulk Calculator'!M10^2)))/'Bulk Calculator'!J10/'Bulk Calculator'!K10*100,D74*'Bulk Calculator'!U10*'Bulk Calculator'!O10/'Bulk Calculator'!J10/'Bulk Calculator'!K10*100),"")</f>
        <v>0.58520168989497934</v>
      </c>
      <c r="K74">
        <f>IFERROR(G74*B74*'Bulk Calculator'!J10/SQRT('Bulk Calculator'!S10)/1000,"")</f>
        <v>57.2</v>
      </c>
      <c r="L74">
        <f>IF(OR('Bulk Calculator'!R10="",'Bulk Calculator'!S10="",G74=""),0,IF(K74&gt;='Bulk Calculator'!R10,1,0))</f>
        <v>1</v>
      </c>
      <c r="M74">
        <f>IF(AND(H74=1,I74&lt;='OS-DORAEN'!$B$6,J74&lt;='OS-DORAEN'!$B$5,L74=1),1,0)</f>
        <v>1</v>
      </c>
      <c r="N74" t="str">
        <f t="shared" si="1"/>
        <v>R/X</v>
      </c>
    </row>
    <row r="75" spans="1:14" ht="15" customHeight="1" x14ac:dyDescent="0.35">
      <c r="A75">
        <v>10</v>
      </c>
      <c r="B75">
        <v>300</v>
      </c>
      <c r="C75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Master'!$F:$F,B75),"")</f>
        <v>455</v>
      </c>
      <c r="D75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Master'!$F:$F,B75),"")</f>
        <v>0.13</v>
      </c>
      <c r="E75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Master'!$F:$F,B75),"")</f>
        <v>0.13</v>
      </c>
      <c r="F75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Master'!$F:$F,B75),"")</f>
        <v>7.0999999999999994E-2</v>
      </c>
      <c r="G75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Master'!$F:$F,B75),"")</f>
        <v>143</v>
      </c>
      <c r="H75">
        <f>IF(AND(ISNUMBER(C75),C75&gt;='Bulk Calculator'!U10/('Bulk Calculator'!J10*'Bulk Calculator'!L10)),1,0)</f>
        <v>1</v>
      </c>
      <c r="I75">
        <f>IFERROR(IF(AND(ISNUMBER(E75),ISNUMBER(F75),E75&gt;0,F75&gt;0),SQRT(3)*'Bulk Calculator'!O10*'Bulk Calculator'!AA10*((E75*'Bulk Calculator'!Q10)+(F75*SQRT(1-'Bulk Calculator'!Q10^2)))/'Bulk Calculator'!J10/'Bulk Calculator'!K10*100,D75*'Bulk Calculator'!AA10*'Bulk Calculator'!O10/'Bulk Calculator'!J10/'Bulk Calculator'!K10*100),"")</f>
        <v>0.75658359717191992</v>
      </c>
      <c r="J75">
        <f>IFERROR(IF(AND(ISNUMBER(E75),ISNUMBER(F75),E75&gt;0,F75&gt;0),SQRT(3)*'Bulk Calculator'!O10*'Bulk Calculator'!U10*((E75*'Bulk Calculator'!M10)+(F75*SQRT(1-'Bulk Calculator'!M10^2)))/'Bulk Calculator'!J10/'Bulk Calculator'!K10*100,D75*'Bulk Calculator'!U10*'Bulk Calculator'!O10/'Bulk Calculator'!J10/'Bulk Calculator'!K10*100),"")</f>
        <v>0.69896145739322746</v>
      </c>
      <c r="K75">
        <f>IFERROR(G75*B75*'Bulk Calculator'!J10/SQRT('Bulk Calculator'!S10)/1000,"")</f>
        <v>42.9</v>
      </c>
      <c r="L75">
        <f>IF(OR('Bulk Calculator'!R10="",'Bulk Calculator'!S10="",G75=""),0,IF(K75&gt;='Bulk Calculator'!R10,1,0))</f>
        <v>1</v>
      </c>
      <c r="M75">
        <f>IF(AND(H75=1,I75&lt;='OS-DORAEN'!$B$6,J75&lt;='OS-DORAEN'!$B$5,L75=1),1,0)</f>
        <v>1</v>
      </c>
      <c r="N75" t="str">
        <f t="shared" si="1"/>
        <v>R/X</v>
      </c>
    </row>
    <row r="76" spans="1:14" ht="15" customHeight="1" x14ac:dyDescent="0.35">
      <c r="A76">
        <v>10</v>
      </c>
      <c r="B76">
        <v>240</v>
      </c>
      <c r="C76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Master'!$F:$F,B76),"")</f>
        <v>399</v>
      </c>
      <c r="D76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Master'!$F:$F,B76),"")</f>
        <v>0.16200000000000001</v>
      </c>
      <c r="E76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Master'!$F:$F,B76),"")</f>
        <v>0.16200000000000001</v>
      </c>
      <c r="F76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Master'!$F:$F,B76),"")</f>
        <v>7.1999999999999995E-2</v>
      </c>
      <c r="G76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Master'!$F:$F,B76),"")</f>
        <v>143</v>
      </c>
      <c r="H76">
        <f>IF(AND(ISNUMBER(C76),C76&gt;='Bulk Calculator'!U10/('Bulk Calculator'!J10*'Bulk Calculator'!L10)),1,0)</f>
        <v>1</v>
      </c>
      <c r="I76">
        <f>IFERROR(IF(AND(ISNUMBER(E76),ISNUMBER(F76),E76&gt;0,F76&gt;0),SQRT(3)*'Bulk Calculator'!O10*'Bulk Calculator'!AA10*((E76*'Bulk Calculator'!Q10)+(F76*SQRT(1-'Bulk Calculator'!Q10^2)))/'Bulk Calculator'!J10/'Bulk Calculator'!K10*100,D76*'Bulk Calculator'!AA10*'Bulk Calculator'!O10/'Bulk Calculator'!J10/'Bulk Calculator'!K10*100),"")</f>
        <v>0.83139818518912834</v>
      </c>
      <c r="J76">
        <f>IFERROR(IF(AND(ISNUMBER(E76),ISNUMBER(F76),E76&gt;0,F76&gt;0),SQRT(3)*'Bulk Calculator'!O10*'Bulk Calculator'!U10*((E76*'Bulk Calculator'!M10)+(F76*SQRT(1-'Bulk Calculator'!M10^2)))/'Bulk Calculator'!J10/'Bulk Calculator'!K10*100,D76*'Bulk Calculator'!U10*'Bulk Calculator'!O10/'Bulk Calculator'!J10/'Bulk Calculator'!K10*100),"")</f>
        <v>0.8299942268789664</v>
      </c>
      <c r="K76">
        <f>IFERROR(G76*B76*'Bulk Calculator'!J10/SQRT('Bulk Calculator'!S10)/1000,"")</f>
        <v>34.32</v>
      </c>
      <c r="L76">
        <f>IF(OR('Bulk Calculator'!R10="",'Bulk Calculator'!S10="",G76=""),0,IF(K76&gt;='Bulk Calculator'!R10,1,0))</f>
        <v>1</v>
      </c>
      <c r="M76">
        <f>IF(AND(H76=1,I76&lt;='OS-DORAEN'!$B$6,J76&lt;='OS-DORAEN'!$B$5,L76=1),1,0)</f>
        <v>1</v>
      </c>
      <c r="N76" t="str">
        <f t="shared" si="1"/>
        <v>R/X</v>
      </c>
    </row>
    <row r="77" spans="1:14" ht="15" customHeight="1" x14ac:dyDescent="0.35">
      <c r="A77">
        <v>10</v>
      </c>
      <c r="B77">
        <v>185</v>
      </c>
      <c r="C77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Master'!$F:$F,B77),"")</f>
        <v>337</v>
      </c>
      <c r="D77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Master'!$F:$F,B77),"")</f>
        <v>0.21099999999999999</v>
      </c>
      <c r="E77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Master'!$F:$F,B77),"")</f>
        <v>0.21099999999999999</v>
      </c>
      <c r="F77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Master'!$F:$F,B77),"")</f>
        <v>7.1999999999999995E-2</v>
      </c>
      <c r="G77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Master'!$F:$F,B77),"")</f>
        <v>143</v>
      </c>
      <c r="H77">
        <f>IF(AND(ISNUMBER(C77),C77&gt;='Bulk Calculator'!U10/('Bulk Calculator'!J10*'Bulk Calculator'!L10)),1,0)</f>
        <v>0</v>
      </c>
      <c r="I77">
        <f>IFERROR(IF(AND(ISNUMBER(E77),ISNUMBER(F77),E77&gt;0,F77&gt;0),SQRT(3)*'Bulk Calculator'!O10*'Bulk Calculator'!AA10*((E77*'Bulk Calculator'!Q10)+(F77*SQRT(1-'Bulk Calculator'!Q10^2)))/'Bulk Calculator'!J10/'Bulk Calculator'!K10*100,D77*'Bulk Calculator'!AA10*'Bulk Calculator'!O10/'Bulk Calculator'!J10/'Bulk Calculator'!K10*100),"")</f>
        <v>0.93560329977850487</v>
      </c>
      <c r="J77">
        <f>IFERROR(IF(AND(ISNUMBER(E77),ISNUMBER(F77),E77&gt;0,F77&gt;0),SQRT(3)*'Bulk Calculator'!O10*'Bulk Calculator'!U10*((E77*'Bulk Calculator'!M10)+(F77*SQRT(1-'Bulk Calculator'!M10^2)))/'Bulk Calculator'!J10/'Bulk Calculator'!K10*100,D77*'Bulk Calculator'!U10*'Bulk Calculator'!O10/'Bulk Calculator'!J10/'Bulk Calculator'!K10*100),"")</f>
        <v>1.0268261099922333</v>
      </c>
      <c r="K77">
        <f>IFERROR(G77*B77*'Bulk Calculator'!J10/SQRT('Bulk Calculator'!S10)/1000,"")</f>
        <v>26.454999999999998</v>
      </c>
      <c r="L77">
        <f>IF(OR('Bulk Calculator'!R10="",'Bulk Calculator'!S10="",G77=""),0,IF(K77&gt;='Bulk Calculator'!R10,1,0))</f>
        <v>1</v>
      </c>
      <c r="M77">
        <f>IF(AND(H77=1,I77&lt;='OS-DORAEN'!$B$6,J77&lt;='OS-DORAEN'!$B$5,L77=1),1,0)</f>
        <v>0</v>
      </c>
      <c r="N77" t="str">
        <f t="shared" si="1"/>
        <v>R/X</v>
      </c>
    </row>
    <row r="78" spans="1:14" ht="15" customHeight="1" x14ac:dyDescent="0.35">
      <c r="A78">
        <v>10</v>
      </c>
      <c r="B78">
        <v>150</v>
      </c>
      <c r="C78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Master'!$F:$F,B78),"")</f>
        <v>292</v>
      </c>
      <c r="D78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Master'!$F:$F,B78),"")</f>
        <v>0.26500000000000001</v>
      </c>
      <c r="E78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Master'!$F:$F,B78),"")</f>
        <v>0.26500000000000001</v>
      </c>
      <c r="F78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Master'!$F:$F,B78),"")</f>
        <v>7.1999999999999995E-2</v>
      </c>
      <c r="G78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Master'!$F:$F,B78),"")</f>
        <v>143</v>
      </c>
      <c r="H78">
        <f>IF(AND(ISNUMBER(C78),C78&gt;='Bulk Calculator'!U10/('Bulk Calculator'!J10*'Bulk Calculator'!L10)),1,0)</f>
        <v>0</v>
      </c>
      <c r="I78">
        <f>IFERROR(IF(AND(ISNUMBER(E78),ISNUMBER(F78),E78&gt;0,F78&gt;0),SQRT(3)*'Bulk Calculator'!O10*'Bulk Calculator'!AA10*((E78*'Bulk Calculator'!Q10)+(F78*SQRT(1-'Bulk Calculator'!Q10^2)))/'Bulk Calculator'!J10/'Bulk Calculator'!K10*100,D78*'Bulk Calculator'!AA10*'Bulk Calculator'!O10/'Bulk Calculator'!J10/'Bulk Calculator'!K10*100),"")</f>
        <v>1.0504415893259813</v>
      </c>
      <c r="J78">
        <f>IFERROR(IF(AND(ISNUMBER(E78),ISNUMBER(F78),E78&gt;0,F78&gt;0),SQRT(3)*'Bulk Calculator'!O10*'Bulk Calculator'!U10*((E78*'Bulk Calculator'!M10)+(F78*SQRT(1-'Bulk Calculator'!M10^2)))/'Bulk Calculator'!J10/'Bulk Calculator'!K10*100,D78*'Bulk Calculator'!U10*'Bulk Calculator'!O10/'Bulk Calculator'!J10/'Bulk Calculator'!K10*100),"")</f>
        <v>1.2437428791374663</v>
      </c>
      <c r="K78">
        <f>IFERROR(G78*B78*'Bulk Calculator'!J10/SQRT('Bulk Calculator'!S10)/1000,"")</f>
        <v>21.45</v>
      </c>
      <c r="L78">
        <f>IF(OR('Bulk Calculator'!R10="",'Bulk Calculator'!S10="",G78=""),0,IF(K78&gt;='Bulk Calculator'!R10,1,0))</f>
        <v>1</v>
      </c>
      <c r="M78">
        <f>IF(AND(H78=1,I78&lt;='OS-DORAEN'!$B$6,J78&lt;='OS-DORAEN'!$B$5,L78=1),1,0)</f>
        <v>0</v>
      </c>
      <c r="N78" t="str">
        <f t="shared" si="1"/>
        <v>R/X</v>
      </c>
    </row>
    <row r="79" spans="1:14" ht="15" customHeight="1" x14ac:dyDescent="0.35">
      <c r="A79">
        <v>10</v>
      </c>
      <c r="B79">
        <v>120</v>
      </c>
      <c r="C79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Master'!$F:$F,B79),"")</f>
        <v>257</v>
      </c>
      <c r="D79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Master'!$F:$F,B79),"")</f>
        <v>0.32500000000000001</v>
      </c>
      <c r="E79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Master'!$F:$F,B79),"")</f>
        <v>0.32500000000000001</v>
      </c>
      <c r="F79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Master'!$F:$F,B79),"")</f>
        <v>7.1999999999999995E-2</v>
      </c>
      <c r="G79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Master'!$F:$F,B79),"")</f>
        <v>143</v>
      </c>
      <c r="H79">
        <f>IF(AND(ISNUMBER(C79),C79&gt;='Bulk Calculator'!U10/('Bulk Calculator'!J10*'Bulk Calculator'!L10)),1,0)</f>
        <v>0</v>
      </c>
      <c r="I79">
        <f>IFERROR(IF(AND(ISNUMBER(E79),ISNUMBER(F79),E79&gt;0,F79&gt;0),SQRT(3)*'Bulk Calculator'!O10*'Bulk Calculator'!AA10*((E79*'Bulk Calculator'!Q10)+(F79*SQRT(1-'Bulk Calculator'!Q10^2)))/'Bulk Calculator'!J10/'Bulk Calculator'!K10*100,D79*'Bulk Calculator'!AA10*'Bulk Calculator'!O10/'Bulk Calculator'!J10/'Bulk Calculator'!K10*100),"")</f>
        <v>1.178039688823177</v>
      </c>
      <c r="J79">
        <f>IFERROR(IF(AND(ISNUMBER(E79),ISNUMBER(F79),E79&gt;0,F79&gt;0),SQRT(3)*'Bulk Calculator'!O10*'Bulk Calculator'!U10*((E79*'Bulk Calculator'!M10)+(F79*SQRT(1-'Bulk Calculator'!M10^2)))/'Bulk Calculator'!J10/'Bulk Calculator'!K10*100,D79*'Bulk Calculator'!U10*'Bulk Calculator'!O10/'Bulk Calculator'!J10/'Bulk Calculator'!K10*100),"")</f>
        <v>1.4847615115210582</v>
      </c>
      <c r="K79">
        <f>IFERROR(G79*B79*'Bulk Calculator'!J10/SQRT('Bulk Calculator'!S10)/1000,"")</f>
        <v>17.16</v>
      </c>
      <c r="L79">
        <f>IF(OR('Bulk Calculator'!R10="",'Bulk Calculator'!S10="",G79=""),0,IF(K79&gt;='Bulk Calculator'!R10,1,0))</f>
        <v>1</v>
      </c>
      <c r="M79">
        <f>IF(AND(H79=1,I79&lt;='OS-DORAEN'!$B$6,J79&lt;='OS-DORAEN'!$B$5,L79=1),1,0)</f>
        <v>0</v>
      </c>
      <c r="N79" t="str">
        <f t="shared" si="1"/>
        <v>R/X</v>
      </c>
    </row>
    <row r="80" spans="1:14" ht="15" customHeight="1" x14ac:dyDescent="0.35">
      <c r="A80">
        <v>10</v>
      </c>
      <c r="B80">
        <v>95</v>
      </c>
      <c r="C80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Master'!$F:$F,B80),"")</f>
        <v>221</v>
      </c>
      <c r="D80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Master'!$F:$F,B80),"")</f>
        <v>0.41</v>
      </c>
      <c r="E80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Master'!$F:$F,B80),"")</f>
        <v>0.41</v>
      </c>
      <c r="F80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Master'!$F:$F,B80),"")</f>
        <v>7.3999999999999996E-2</v>
      </c>
      <c r="G80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Master'!$F:$F,B80),"")</f>
        <v>143</v>
      </c>
      <c r="H80">
        <f>IF(AND(ISNUMBER(C80),C80&gt;='Bulk Calculator'!U10/('Bulk Calculator'!J10*'Bulk Calculator'!L10)),1,0)</f>
        <v>0</v>
      </c>
      <c r="I80">
        <f>IFERROR(IF(AND(ISNUMBER(E80),ISNUMBER(F80),E80&gt;0,F80&gt;0),SQRT(3)*'Bulk Calculator'!O10*'Bulk Calculator'!AA10*((E80*'Bulk Calculator'!Q10)+(F80*SQRT(1-'Bulk Calculator'!Q10^2)))/'Bulk Calculator'!J10/'Bulk Calculator'!K10*100,D80*'Bulk Calculator'!AA10*'Bulk Calculator'!O10/'Bulk Calculator'!J10/'Bulk Calculator'!K10*100),"")</f>
        <v>1.3723281996816126</v>
      </c>
      <c r="J80">
        <f>IFERROR(IF(AND(ISNUMBER(E80),ISNUMBER(F80),E80&gt;0,F80&gt;0),SQRT(3)*'Bulk Calculator'!O10*'Bulk Calculator'!U10*((E80*'Bulk Calculator'!M10)+(F80*SQRT(1-'Bulk Calculator'!M10^2)))/'Bulk Calculator'!J10/'Bulk Calculator'!K10*100,D80*'Bulk Calculator'!U10*'Bulk Calculator'!O10/'Bulk Calculator'!J10/'Bulk Calculator'!K10*100),"")</f>
        <v>1.8311835718267933</v>
      </c>
      <c r="K80">
        <f>IFERROR(G80*B80*'Bulk Calculator'!J10/SQRT('Bulk Calculator'!S10)/1000,"")</f>
        <v>13.585000000000001</v>
      </c>
      <c r="L80">
        <f>IF(OR('Bulk Calculator'!R10="",'Bulk Calculator'!S10="",G80=""),0,IF(K80&gt;='Bulk Calculator'!R10,1,0))</f>
        <v>1</v>
      </c>
      <c r="M80">
        <f>IF(AND(H80=1,I80&lt;='OS-DORAEN'!$B$6,J80&lt;='OS-DORAEN'!$B$5,L80=1),1,0)</f>
        <v>0</v>
      </c>
      <c r="N80" t="str">
        <f t="shared" si="1"/>
        <v>R/X</v>
      </c>
    </row>
    <row r="81" spans="1:14" ht="15" customHeight="1" x14ac:dyDescent="0.35">
      <c r="A81">
        <v>10</v>
      </c>
      <c r="B81">
        <v>70</v>
      </c>
      <c r="C81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Master'!$F:$F,B81),"")</f>
        <v>179</v>
      </c>
      <c r="D81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Master'!$F:$F,B81),"")</f>
        <v>0.56699999999999995</v>
      </c>
      <c r="E81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Master'!$F:$F,B81),"")</f>
        <v>0.56699999999999995</v>
      </c>
      <c r="F81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Master'!$F:$F,B81),"")</f>
        <v>7.6999999999999999E-2</v>
      </c>
      <c r="G81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Master'!$F:$F,B81),"")</f>
        <v>143</v>
      </c>
      <c r="H81">
        <f>IF(AND(ISNUMBER(C81),C81&gt;='Bulk Calculator'!U10/('Bulk Calculator'!J10*'Bulk Calculator'!L10)),1,0)</f>
        <v>0</v>
      </c>
      <c r="I81">
        <f>IFERROR(IF(AND(ISNUMBER(E81),ISNUMBER(F81),E81&gt;0,F81&gt;0),SQRT(3)*'Bulk Calculator'!O10*'Bulk Calculator'!AA10*((E81*'Bulk Calculator'!Q10)+(F81*SQRT(1-'Bulk Calculator'!Q10^2)))/'Bulk Calculator'!J10/'Bulk Calculator'!K10*100,D81*'Bulk Calculator'!AA10*'Bulk Calculator'!O10/'Bulk Calculator'!J10/'Bulk Calculator'!K10*100),"")</f>
        <v>1.726496698222054</v>
      </c>
      <c r="J81">
        <f>IFERROR(IF(AND(ISNUMBER(E81),ISNUMBER(F81),E81&gt;0,F81&gt;0),SQRT(3)*'Bulk Calculator'!O10*'Bulk Calculator'!U10*((E81*'Bulk Calculator'!M10)+(F81*SQRT(1-'Bulk Calculator'!M10^2)))/'Bulk Calculator'!J10/'Bulk Calculator'!K10*100,D81*'Bulk Calculator'!U10*'Bulk Calculator'!O10/'Bulk Calculator'!J10/'Bulk Calculator'!K10*100),"")</f>
        <v>2.4693174898739954</v>
      </c>
      <c r="K81">
        <f>IFERROR(G81*B81*'Bulk Calculator'!J10/SQRT('Bulk Calculator'!S10)/1000,"")</f>
        <v>10.01</v>
      </c>
      <c r="L81">
        <f>IF(OR('Bulk Calculator'!R10="",'Bulk Calculator'!S10="",G81=""),0,IF(K81&gt;='Bulk Calculator'!R10,1,0))</f>
        <v>0</v>
      </c>
      <c r="M81">
        <f>IF(AND(H81=1,I81&lt;='OS-DORAEN'!$B$6,J81&lt;='OS-DORAEN'!$B$5,L81=1),1,0)</f>
        <v>0</v>
      </c>
      <c r="N81" t="str">
        <f t="shared" si="1"/>
        <v>R/X</v>
      </c>
    </row>
    <row r="82" spans="1:14" ht="15" customHeight="1" x14ac:dyDescent="0.35">
      <c r="A82">
        <v>10</v>
      </c>
      <c r="B82">
        <v>50</v>
      </c>
      <c r="C82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Master'!$F:$F,B82),"")</f>
        <v>142</v>
      </c>
      <c r="D82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Master'!$F:$F,B82),"")</f>
        <v>0.82</v>
      </c>
      <c r="E82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Master'!$F:$F,B82),"")</f>
        <v>0.82</v>
      </c>
      <c r="F82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Master'!$F:$F,B82),"")</f>
        <v>7.8E-2</v>
      </c>
      <c r="G82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Master'!$F:$F,B82),"")</f>
        <v>143</v>
      </c>
      <c r="H82">
        <f>IF(AND(ISNUMBER(C82),C82&gt;='Bulk Calculator'!U10/('Bulk Calculator'!J10*'Bulk Calculator'!L10)),1,0)</f>
        <v>0</v>
      </c>
      <c r="I82">
        <f>IFERROR(IF(AND(ISNUMBER(E82),ISNUMBER(F82),E82&gt;0,F82&gt;0),SQRT(3)*'Bulk Calculator'!O10*'Bulk Calculator'!AA10*((E82*'Bulk Calculator'!Q10)+(F82*SQRT(1-'Bulk Calculator'!Q10^2)))/'Bulk Calculator'!J10/'Bulk Calculator'!K10*100,D82*'Bulk Calculator'!AA10*'Bulk Calculator'!O10/'Bulk Calculator'!J10/'Bulk Calculator'!K10*100),"")</f>
        <v>2.2712976193872669</v>
      </c>
      <c r="J82">
        <f>IFERROR(IF(AND(ISNUMBER(E82),ISNUMBER(F82),E82&gt;0,F82&gt;0),SQRT(3)*'Bulk Calculator'!O10*'Bulk Calculator'!U10*((E82*'Bulk Calculator'!M10)+(F82*SQRT(1-'Bulk Calculator'!M10^2)))/'Bulk Calculator'!J10/'Bulk Calculator'!K10*100,D82*'Bulk Calculator'!U10*'Bulk Calculator'!O10/'Bulk Calculator'!J10/'Bulk Calculator'!K10*100),"")</f>
        <v>3.4881022219726319</v>
      </c>
      <c r="K82">
        <f>IFERROR(G82*B82*'Bulk Calculator'!J10/SQRT('Bulk Calculator'!S10)/1000,"")</f>
        <v>7.15</v>
      </c>
      <c r="L82">
        <f>IF(OR('Bulk Calculator'!R10="",'Bulk Calculator'!S10="",G82=""),0,IF(K82&gt;='Bulk Calculator'!R10,1,0))</f>
        <v>0</v>
      </c>
      <c r="M82">
        <f>IF(AND(H82=1,I82&lt;='OS-DORAEN'!$B$6,J82&lt;='OS-DORAEN'!$B$5,L82=1),1,0)</f>
        <v>0</v>
      </c>
      <c r="N82" t="str">
        <f t="shared" si="1"/>
        <v>R/X</v>
      </c>
    </row>
    <row r="83" spans="1:14" ht="15" customHeight="1" x14ac:dyDescent="0.35">
      <c r="A83">
        <v>10</v>
      </c>
      <c r="B83">
        <v>35</v>
      </c>
      <c r="C83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Master'!$F:$F,B83),"")</f>
        <v>117</v>
      </c>
      <c r="D83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Master'!$F:$F,B83),"")</f>
        <v>1.1100000000000001</v>
      </c>
      <c r="E83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Master'!$F:$F,B83),"")</f>
        <v>1.1100000000000001</v>
      </c>
      <c r="F83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Master'!$F:$F,B83),"")</f>
        <v>0.08</v>
      </c>
      <c r="G83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Master'!$F:$F,B83),"")</f>
        <v>143</v>
      </c>
      <c r="H83">
        <f>IF(AND(ISNUMBER(C83),C83&gt;='Bulk Calculator'!U10/('Bulk Calculator'!J10*'Bulk Calculator'!L10)),1,0)</f>
        <v>0</v>
      </c>
      <c r="I83">
        <f>IFERROR(IF(AND(ISNUMBER(E83),ISNUMBER(F83),E83&gt;0,F83&gt;0),SQRT(3)*'Bulk Calculator'!O10*'Bulk Calculator'!AA10*((E83*'Bulk Calculator'!Q10)+(F83*SQRT(1-'Bulk Calculator'!Q10^2)))/'Bulk Calculator'!J10/'Bulk Calculator'!K10*100,D83*'Bulk Calculator'!AA10*'Bulk Calculator'!O10/'Bulk Calculator'!J10/'Bulk Calculator'!K10*100),"")</f>
        <v>2.9015463035277889</v>
      </c>
      <c r="J83">
        <f>IFERROR(IF(AND(ISNUMBER(E83),ISNUMBER(F83),E83&gt;0,F83&gt;0),SQRT(3)*'Bulk Calculator'!O10*'Bulk Calculator'!U10*((E83*'Bulk Calculator'!M10)+(F83*SQRT(1-'Bulk Calculator'!M10^2)))/'Bulk Calculator'!J10/'Bulk Calculator'!K10*100,D83*'Bulk Calculator'!U10*'Bulk Calculator'!O10/'Bulk Calculator'!J10/'Bulk Calculator'!K10*100),"")</f>
        <v>4.6580046095889731</v>
      </c>
      <c r="K83">
        <f>IFERROR(G83*B83*'Bulk Calculator'!J10/SQRT('Bulk Calculator'!S10)/1000,"")</f>
        <v>5.0049999999999999</v>
      </c>
      <c r="L83">
        <f>IF(OR('Bulk Calculator'!R10="",'Bulk Calculator'!S10="",G83=""),0,IF(K83&gt;='Bulk Calculator'!R10,1,0))</f>
        <v>0</v>
      </c>
      <c r="M83">
        <f>IF(AND(H83=1,I83&lt;='OS-DORAEN'!$B$6,J83&lt;='OS-DORAEN'!$B$5,L83=1),1,0)</f>
        <v>0</v>
      </c>
      <c r="N83" t="str">
        <f t="shared" si="1"/>
        <v>R/X</v>
      </c>
    </row>
    <row r="84" spans="1:14" ht="15" customHeight="1" x14ac:dyDescent="0.35">
      <c r="A84">
        <v>10</v>
      </c>
      <c r="B84">
        <v>25</v>
      </c>
      <c r="C84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Master'!$F:$F,B84),"")</f>
        <v>96</v>
      </c>
      <c r="D84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Master'!$F:$F,B84),"")</f>
        <v>1.54</v>
      </c>
      <c r="E84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Master'!$F:$F,B84),"")</f>
        <v>1.54</v>
      </c>
      <c r="F84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Master'!$F:$F,B84),"")</f>
        <v>0.08</v>
      </c>
      <c r="G84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Master'!$F:$F,B84),"")</f>
        <v>143</v>
      </c>
      <c r="H84">
        <f>IF(AND(ISNUMBER(C84),C84&gt;='Bulk Calculator'!U10/('Bulk Calculator'!J10*'Bulk Calculator'!L10)),1,0)</f>
        <v>0</v>
      </c>
      <c r="I84">
        <f>IFERROR(IF(AND(ISNUMBER(E84),ISNUMBER(F84),E84&gt;0,F84&gt;0),SQRT(3)*'Bulk Calculator'!O10*'Bulk Calculator'!AA10*((E84*'Bulk Calculator'!Q10)+(F84*SQRT(1-'Bulk Calculator'!Q10^2)))/'Bulk Calculator'!J10/'Bulk Calculator'!K10*100,D84*'Bulk Calculator'!AA10*'Bulk Calculator'!O10/'Bulk Calculator'!J10/'Bulk Calculator'!K10*100),"")</f>
        <v>3.8159993499243585</v>
      </c>
      <c r="J84">
        <f>IFERROR(IF(AND(ISNUMBER(E84),ISNUMBER(F84),E84&gt;0,F84&gt;0),SQRT(3)*'Bulk Calculator'!O10*'Bulk Calculator'!U10*((E84*'Bulk Calculator'!M10)+(F84*SQRT(1-'Bulk Calculator'!M10^2)))/'Bulk Calculator'!J10/'Bulk Calculator'!K10*100,D84*'Bulk Calculator'!U10*'Bulk Calculator'!O10/'Bulk Calculator'!J10/'Bulk Calculator'!K10*100),"")</f>
        <v>6.3853048083380504</v>
      </c>
      <c r="K84">
        <f>IFERROR(G84*B84*'Bulk Calculator'!J10/SQRT('Bulk Calculator'!S10)/1000,"")</f>
        <v>3.5750000000000002</v>
      </c>
      <c r="L84">
        <f>IF(OR('Bulk Calculator'!R10="",'Bulk Calculator'!S10="",G84=""),0,IF(K84&gt;='Bulk Calculator'!R10,1,0))</f>
        <v>0</v>
      </c>
      <c r="M84">
        <f>IF(AND(H84=1,I84&lt;='OS-DORAEN'!$B$6,J84&lt;='OS-DORAEN'!$B$5,L84=1),1,0)</f>
        <v>0</v>
      </c>
      <c r="N84" t="str">
        <f t="shared" si="1"/>
        <v>R/X</v>
      </c>
    </row>
    <row r="85" spans="1:14" ht="15" customHeight="1" x14ac:dyDescent="0.35">
      <c r="A85">
        <v>10</v>
      </c>
      <c r="B85">
        <v>16</v>
      </c>
      <c r="C85">
        <f>IFERROR(SUMIFS('Cable Data Master'!$G:$G,'Cable Data Master'!$A:$A,'Bulk Calculator'!$BF10,'Cable Data Master'!$B:$B,'Bulk Calculator'!$BG10,'Cable Data Master'!$C:$C,'Bulk Calculator'!$BH10,'Cable Data Master'!$D:$D,'Bulk Calculator'!$BI10,'Cable Data Master'!$E:$E,'Bulk Calculator'!$BJ10,'Cable Data Master'!$F:$F,B85),"")</f>
        <v>0</v>
      </c>
      <c r="D85">
        <f>IFERROR(SUMIFS('Cable Data Master'!$K:$K,'Cable Data Master'!$A:$A,'Bulk Calculator'!$BF10,'Cable Data Master'!$B:$B,'Bulk Calculator'!$BG10,'Cable Data Master'!$C:$C,'Bulk Calculator'!$BH10,'Cable Data Master'!$D:$D,'Bulk Calculator'!$BI10,'Cable Data Master'!$E:$E,'Bulk Calculator'!$BJ10,'Cable Data Master'!$F:$F,B85),"")</f>
        <v>0</v>
      </c>
      <c r="E85">
        <f>IFERROR(SUMIFS('Cable Data Master'!$H:$H,'Cable Data Master'!$A:$A,'Bulk Calculator'!$BF10,'Cable Data Master'!$B:$B,'Bulk Calculator'!$BG10,'Cable Data Master'!$C:$C,'Bulk Calculator'!$BH10,'Cable Data Master'!$D:$D,'Bulk Calculator'!$BI10,'Cable Data Master'!$E:$E,'Bulk Calculator'!$BJ10,'Cable Data Master'!$F:$F,B85),"")</f>
        <v>0</v>
      </c>
      <c r="F85">
        <f>IFERROR(SUMIFS('Cable Data Master'!$I:$I,'Cable Data Master'!$A:$A,'Bulk Calculator'!$BF10,'Cable Data Master'!$B:$B,'Bulk Calculator'!$BG10,'Cable Data Master'!$C:$C,'Bulk Calculator'!$BH10,'Cable Data Master'!$D:$D,'Bulk Calculator'!$BI10,'Cable Data Master'!$E:$E,'Bulk Calculator'!$BJ10,'Cable Data Master'!$F:$F,B85),"")</f>
        <v>0</v>
      </c>
      <c r="G85">
        <f>IFERROR(SUMIFS('Cable Data Master'!$J:$J,'Cable Data Master'!$A:$A,'Bulk Calculator'!$BF10,'Cable Data Master'!$B:$B,'Bulk Calculator'!$BG10,'Cable Data Master'!$C:$C,'Bulk Calculator'!$BH10,'Cable Data Master'!$D:$D,'Bulk Calculator'!$BI10,'Cable Data Master'!$E:$E,'Bulk Calculator'!$BJ10,'Cable Data Master'!$F:$F,B85),"")</f>
        <v>0</v>
      </c>
      <c r="H85">
        <f>IF(AND(ISNUMBER(C85),C85&gt;='Bulk Calculator'!U10/('Bulk Calculator'!J10*'Bulk Calculator'!L10)),1,0)</f>
        <v>0</v>
      </c>
      <c r="I85">
        <f>IFERROR(IF(AND(ISNUMBER(E85),ISNUMBER(F85),E85&gt;0,F85&gt;0),SQRT(3)*'Bulk Calculator'!O10*'Bulk Calculator'!AA10*((E85*'Bulk Calculator'!Q10)+(F85*SQRT(1-'Bulk Calculator'!Q10^2)))/'Bulk Calculator'!J10/'Bulk Calculator'!K10*100,D85*'Bulk Calculator'!AA10*'Bulk Calculator'!O10/'Bulk Calculator'!J10/'Bulk Calculator'!K10*100),"")</f>
        <v>0</v>
      </c>
      <c r="J85">
        <f>IFERROR(IF(AND(ISNUMBER(E85),ISNUMBER(F85),E85&gt;0,F85&gt;0),SQRT(3)*'Bulk Calculator'!O10*'Bulk Calculator'!U10*((E85*'Bulk Calculator'!M10)+(F85*SQRT(1-'Bulk Calculator'!M10^2)))/'Bulk Calculator'!J10/'Bulk Calculator'!K10*100,D85*'Bulk Calculator'!U10*'Bulk Calculator'!O10/'Bulk Calculator'!J10/'Bulk Calculator'!K10*100),"")</f>
        <v>0</v>
      </c>
      <c r="K85">
        <f>IFERROR(G85*B85*'Bulk Calculator'!J10/SQRT('Bulk Calculator'!S10)/1000,"")</f>
        <v>0</v>
      </c>
      <c r="L85">
        <f>IF(OR('Bulk Calculator'!R10="",'Bulk Calculator'!S10="",G85=""),0,IF(K85&gt;='Bulk Calculator'!R10,1,0))</f>
        <v>0</v>
      </c>
      <c r="M85">
        <f>IF(AND(H85=1,I85&lt;='OS-DORAEN'!$B$6,J85&lt;='OS-DORAEN'!$B$5,L85=1),1,0)</f>
        <v>0</v>
      </c>
      <c r="N85" t="str">
        <f t="shared" si="1"/>
        <v>Manufacturer VD Ref</v>
      </c>
    </row>
    <row r="86" spans="1:14" ht="15" customHeight="1" x14ac:dyDescent="0.35">
      <c r="A86">
        <v>11</v>
      </c>
      <c r="B86">
        <v>400</v>
      </c>
      <c r="C86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Master'!$F:$F,B86),"")</f>
        <v>520</v>
      </c>
      <c r="D86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Master'!$F:$F,B86),"")</f>
        <v>0.22</v>
      </c>
      <c r="E86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Master'!$F:$F,B86),"")</f>
        <v>0.1023</v>
      </c>
      <c r="F86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Master'!$F:$F,B86),"")</f>
        <v>7.0000000000000007E-2</v>
      </c>
      <c r="G86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Master'!$F:$F,B86),"")</f>
        <v>143</v>
      </c>
      <c r="H86">
        <f>IF(AND(ISNUMBER(C86),C86&gt;='Bulk Calculator'!U11/('Bulk Calculator'!J11*'Bulk Calculator'!L11)),1,0)</f>
        <v>1</v>
      </c>
      <c r="I86">
        <f>IFERROR(IF(AND(ISNUMBER(E86),ISNUMBER(F86),E86&gt;0,F86&gt;0),SQRT(3)*'Bulk Calculator'!O11*'Bulk Calculator'!AA11*((E86*'Bulk Calculator'!Q11)+(F86*SQRT(1-'Bulk Calculator'!Q11^2)))/'Bulk Calculator'!J11/'Bulk Calculator'!K11*100,D86*'Bulk Calculator'!AA11*'Bulk Calculator'!O11/'Bulk Calculator'!J11/'Bulk Calculator'!K11*100),"")</f>
        <v>2.8177585639464237E-2</v>
      </c>
      <c r="J86">
        <f>IFERROR(IF(AND(ISNUMBER(E86),ISNUMBER(F86),E86&gt;0,F86&gt;0),SQRT(3)*'Bulk Calculator'!O11*'Bulk Calculator'!U11*((E86*'Bulk Calculator'!M11)+(F86*SQRT(1-'Bulk Calculator'!M11^2)))/'Bulk Calculator'!J11/'Bulk Calculator'!K11*100,D86*'Bulk Calculator'!U11*'Bulk Calculator'!O11/'Bulk Calculator'!J11/'Bulk Calculator'!K11*100),"")</f>
        <v>2.3753161499960256E-2</v>
      </c>
      <c r="K86">
        <f>IFERROR(G86*B86*'Bulk Calculator'!J11/SQRT('Bulk Calculator'!S11)/1000,"")</f>
        <v>57.2</v>
      </c>
      <c r="L86">
        <f>IF(OR('Bulk Calculator'!R11="",'Bulk Calculator'!S11="",G86=""),0,IF(K86&gt;='Bulk Calculator'!R11,1,0))</f>
        <v>1</v>
      </c>
      <c r="M86">
        <f>IF(AND(H86=1,I86&lt;='OS-DORAEN'!$B$6,J86&lt;='OS-DORAEN'!$B$5,L86=1),1,0)</f>
        <v>1</v>
      </c>
      <c r="N86" t="str">
        <f t="shared" si="1"/>
        <v>R/X</v>
      </c>
    </row>
    <row r="87" spans="1:14" ht="15" customHeight="1" x14ac:dyDescent="0.35">
      <c r="A87">
        <v>11</v>
      </c>
      <c r="B87">
        <v>300</v>
      </c>
      <c r="C87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Master'!$F:$F,B87),"")</f>
        <v>447</v>
      </c>
      <c r="D87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Master'!$F:$F,B87),"")</f>
        <v>0.27</v>
      </c>
      <c r="E87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Master'!$F:$F,B87),"")</f>
        <v>0.13</v>
      </c>
      <c r="F87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Master'!$F:$F,B87),"")</f>
        <v>7.0999999999999994E-2</v>
      </c>
      <c r="G87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Master'!$F:$F,B87),"")</f>
        <v>143</v>
      </c>
      <c r="H87">
        <f>IF(AND(ISNUMBER(C87),C87&gt;='Bulk Calculator'!U11/('Bulk Calculator'!J11*'Bulk Calculator'!L11)),1,0)</f>
        <v>1</v>
      </c>
      <c r="I87">
        <f>IFERROR(IF(AND(ISNUMBER(E87),ISNUMBER(F87),E87&gt;0,F87&gt;0),SQRT(3)*'Bulk Calculator'!O11*'Bulk Calculator'!AA11*((E87*'Bulk Calculator'!Q11)+(F87*SQRT(1-'Bulk Calculator'!Q11^2)))/'Bulk Calculator'!J11/'Bulk Calculator'!K11*100,D87*'Bulk Calculator'!AA11*'Bulk Calculator'!O11/'Bulk Calculator'!J11/'Bulk Calculator'!K11*100),"")</f>
        <v>3.0855813181041032E-2</v>
      </c>
      <c r="J87">
        <f>IFERROR(IF(AND(ISNUMBER(E87),ISNUMBER(F87),E87&gt;0,F87&gt;0),SQRT(3)*'Bulk Calculator'!O11*'Bulk Calculator'!U11*((E87*'Bulk Calculator'!M11)+(F87*SQRT(1-'Bulk Calculator'!M11^2)))/'Bulk Calculator'!J11/'Bulk Calculator'!K11*100,D87*'Bulk Calculator'!U11*'Bulk Calculator'!O11/'Bulk Calculator'!J11/'Bulk Calculator'!K11*100),"")</f>
        <v>2.7935880953956271E-2</v>
      </c>
      <c r="K87">
        <f>IFERROR(G87*B87*'Bulk Calculator'!J11/SQRT('Bulk Calculator'!S11)/1000,"")</f>
        <v>42.9</v>
      </c>
      <c r="L87">
        <f>IF(OR('Bulk Calculator'!R11="",'Bulk Calculator'!S11="",G87=""),0,IF(K87&gt;='Bulk Calculator'!R11,1,0))</f>
        <v>1</v>
      </c>
      <c r="M87">
        <f>IF(AND(H87=1,I87&lt;='OS-DORAEN'!$B$6,J87&lt;='OS-DORAEN'!$B$5,L87=1),1,0)</f>
        <v>1</v>
      </c>
      <c r="N87" t="str">
        <f t="shared" si="1"/>
        <v>R/X</v>
      </c>
    </row>
    <row r="88" spans="1:14" ht="15" customHeight="1" x14ac:dyDescent="0.35">
      <c r="A88">
        <v>11</v>
      </c>
      <c r="B88">
        <v>240</v>
      </c>
      <c r="C88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Master'!$F:$F,B88),"")</f>
        <v>388</v>
      </c>
      <c r="D88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Master'!$F:$F,B88),"")</f>
        <v>0.31</v>
      </c>
      <c r="E88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Master'!$F:$F,B88),"")</f>
        <v>0.16200000000000001</v>
      </c>
      <c r="F88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Master'!$F:$F,B88),"")</f>
        <v>7.1999999999999995E-2</v>
      </c>
      <c r="G88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Master'!$F:$F,B88),"")</f>
        <v>143</v>
      </c>
      <c r="H88">
        <f>IF(AND(ISNUMBER(C88),C88&gt;='Bulk Calculator'!U11/('Bulk Calculator'!J11*'Bulk Calculator'!L11)),1,0)</f>
        <v>1</v>
      </c>
      <c r="I88">
        <f>IFERROR(IF(AND(ISNUMBER(E88),ISNUMBER(F88),E88&gt;0,F88&gt;0),SQRT(3)*'Bulk Calculator'!O11*'Bulk Calculator'!AA11*((E88*'Bulk Calculator'!Q11)+(F88*SQRT(1-'Bulk Calculator'!Q11^2)))/'Bulk Calculator'!J11/'Bulk Calculator'!K11*100,D88*'Bulk Calculator'!AA11*'Bulk Calculator'!O11/'Bulk Calculator'!J11/'Bulk Calculator'!K11*100),"")</f>
        <v>3.390698288615291E-2</v>
      </c>
      <c r="J88">
        <f>IFERROR(IF(AND(ISNUMBER(E88),ISNUMBER(F88),E88&gt;0,F88&gt;0),SQRT(3)*'Bulk Calculator'!O11*'Bulk Calculator'!U11*((E88*'Bulk Calculator'!M11)+(F88*SQRT(1-'Bulk Calculator'!M11^2)))/'Bulk Calculator'!J11/'Bulk Calculator'!K11*100,D88*'Bulk Calculator'!U11*'Bulk Calculator'!O11/'Bulk Calculator'!J11/'Bulk Calculator'!K11*100),"")</f>
        <v>3.2748458284144903E-2</v>
      </c>
      <c r="K88">
        <f>IFERROR(G88*B88*'Bulk Calculator'!J11/SQRT('Bulk Calculator'!S11)/1000,"")</f>
        <v>34.32</v>
      </c>
      <c r="L88">
        <f>IF(OR('Bulk Calculator'!R11="",'Bulk Calculator'!S11="",G88=""),0,IF(K88&gt;='Bulk Calculator'!R11,1,0))</f>
        <v>1</v>
      </c>
      <c r="M88">
        <f>IF(AND(H88=1,I88&lt;='OS-DORAEN'!$B$6,J88&lt;='OS-DORAEN'!$B$5,L88=1),1,0)</f>
        <v>1</v>
      </c>
      <c r="N88" t="str">
        <f t="shared" si="1"/>
        <v>R/X</v>
      </c>
    </row>
    <row r="89" spans="1:14" ht="15" customHeight="1" x14ac:dyDescent="0.35">
      <c r="A89">
        <v>11</v>
      </c>
      <c r="B89">
        <v>185</v>
      </c>
      <c r="C89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Master'!$F:$F,B89),"")</f>
        <v>325</v>
      </c>
      <c r="D89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Master'!$F:$F,B89),"")</f>
        <v>0.41</v>
      </c>
      <c r="E89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Master'!$F:$F,B89),"")</f>
        <v>0.21099999999999999</v>
      </c>
      <c r="F89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Master'!$F:$F,B89),"")</f>
        <v>7.1999999999999995E-2</v>
      </c>
      <c r="G89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Master'!$F:$F,B89),"")</f>
        <v>143</v>
      </c>
      <c r="H89">
        <f>IF(AND(ISNUMBER(C89),C89&gt;='Bulk Calculator'!U11/('Bulk Calculator'!J11*'Bulk Calculator'!L11)),1,0)</f>
        <v>1</v>
      </c>
      <c r="I89">
        <f>IFERROR(IF(AND(ISNUMBER(E89),ISNUMBER(F89),E89&gt;0,F89&gt;0),SQRT(3)*'Bulk Calculator'!O11*'Bulk Calculator'!AA11*((E89*'Bulk Calculator'!Q11)+(F89*SQRT(1-'Bulk Calculator'!Q11^2)))/'Bulk Calculator'!J11/'Bulk Calculator'!K11*100,D89*'Bulk Calculator'!AA11*'Bulk Calculator'!O11/'Bulk Calculator'!J11/'Bulk Calculator'!K11*100),"")</f>
        <v>3.8156788935738928E-2</v>
      </c>
      <c r="J89">
        <f>IFERROR(IF(AND(ISNUMBER(E89),ISNUMBER(F89),E89&gt;0,F89&gt;0),SQRT(3)*'Bulk Calculator'!O11*'Bulk Calculator'!U11*((E89*'Bulk Calculator'!M11)+(F89*SQRT(1-'Bulk Calculator'!M11^2)))/'Bulk Calculator'!J11/'Bulk Calculator'!K11*100,D89*'Bulk Calculator'!U11*'Bulk Calculator'!O11/'Bulk Calculator'!J11/'Bulk Calculator'!K11*100),"")</f>
        <v>3.9925908501223517E-2</v>
      </c>
      <c r="K89">
        <f>IFERROR(G89*B89*'Bulk Calculator'!J11/SQRT('Bulk Calculator'!S11)/1000,"")</f>
        <v>26.454999999999998</v>
      </c>
      <c r="L89">
        <f>IF(OR('Bulk Calculator'!R11="",'Bulk Calculator'!S11="",G89=""),0,IF(K89&gt;='Bulk Calculator'!R11,1,0))</f>
        <v>1</v>
      </c>
      <c r="M89">
        <f>IF(AND(H89=1,I89&lt;='OS-DORAEN'!$B$6,J89&lt;='OS-DORAEN'!$B$5,L89=1),1,0)</f>
        <v>1</v>
      </c>
      <c r="N89" t="str">
        <f t="shared" si="1"/>
        <v>R/X</v>
      </c>
    </row>
    <row r="90" spans="1:14" ht="15" customHeight="1" x14ac:dyDescent="0.35">
      <c r="A90">
        <v>11</v>
      </c>
      <c r="B90">
        <v>150</v>
      </c>
      <c r="C90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Master'!$F:$F,B90),"")</f>
        <v>280</v>
      </c>
      <c r="D90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Master'!$F:$F,B90),"")</f>
        <v>0.49</v>
      </c>
      <c r="E90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Master'!$F:$F,B90),"")</f>
        <v>0.26500000000000001</v>
      </c>
      <c r="F90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Master'!$F:$F,B90),"")</f>
        <v>7.1999999999999995E-2</v>
      </c>
      <c r="G90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Master'!$F:$F,B90),"")</f>
        <v>143</v>
      </c>
      <c r="H90">
        <f>IF(AND(ISNUMBER(C90),C90&gt;='Bulk Calculator'!U11/('Bulk Calculator'!J11*'Bulk Calculator'!L11)),1,0)</f>
        <v>1</v>
      </c>
      <c r="I90">
        <f>IFERROR(IF(AND(ISNUMBER(E90),ISNUMBER(F90),E90&gt;0,F90&gt;0),SQRT(3)*'Bulk Calculator'!O11*'Bulk Calculator'!AA11*((E90*'Bulk Calculator'!Q11)+(F90*SQRT(1-'Bulk Calculator'!Q11^2)))/'Bulk Calculator'!J11/'Bulk Calculator'!K11*100,D90*'Bulk Calculator'!AA11*'Bulk Calculator'!O11/'Bulk Calculator'!J11/'Bulk Calculator'!K11*100),"")</f>
        <v>4.2840248663854143E-2</v>
      </c>
      <c r="J90">
        <f>IFERROR(IF(AND(ISNUMBER(E90),ISNUMBER(F90),E90&gt;0,F90&gt;0),SQRT(3)*'Bulk Calculator'!O11*'Bulk Calculator'!U11*((E90*'Bulk Calculator'!M11)+(F90*SQRT(1-'Bulk Calculator'!M11^2)))/'Bulk Calculator'!J11/'Bulk Calculator'!K11*100,D90*'Bulk Calculator'!U11*'Bulk Calculator'!O11/'Bulk Calculator'!J11/'Bulk Calculator'!K11*100),"")</f>
        <v>4.7835751597595864E-2</v>
      </c>
      <c r="K90">
        <f>IFERROR(G90*B90*'Bulk Calculator'!J11/SQRT('Bulk Calculator'!S11)/1000,"")</f>
        <v>21.45</v>
      </c>
      <c r="L90">
        <f>IF(OR('Bulk Calculator'!R11="",'Bulk Calculator'!S11="",G90=""),0,IF(K90&gt;='Bulk Calculator'!R11,1,0))</f>
        <v>1</v>
      </c>
      <c r="M90">
        <f>IF(AND(H90=1,I90&lt;='OS-DORAEN'!$B$6,J90&lt;='OS-DORAEN'!$B$5,L90=1),1,0)</f>
        <v>1</v>
      </c>
      <c r="N90" t="str">
        <f t="shared" si="1"/>
        <v>R/X</v>
      </c>
    </row>
    <row r="91" spans="1:14" ht="15" customHeight="1" x14ac:dyDescent="0.35">
      <c r="A91">
        <v>11</v>
      </c>
      <c r="B91">
        <v>120</v>
      </c>
      <c r="C91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Master'!$F:$F,B91),"")</f>
        <v>247</v>
      </c>
      <c r="D91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Master'!$F:$F,B91),"")</f>
        <v>0.56999999999999995</v>
      </c>
      <c r="E91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Master'!$F:$F,B91),"")</f>
        <v>0.32500000000000001</v>
      </c>
      <c r="F91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Master'!$F:$F,B91),"")</f>
        <v>7.1999999999999995E-2</v>
      </c>
      <c r="G91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Master'!$F:$F,B91),"")</f>
        <v>143</v>
      </c>
      <c r="H91">
        <f>IF(AND(ISNUMBER(C91),C91&gt;='Bulk Calculator'!U11/('Bulk Calculator'!J11*'Bulk Calculator'!L11)),1,0)</f>
        <v>1</v>
      </c>
      <c r="I91">
        <f>IFERROR(IF(AND(ISNUMBER(E91),ISNUMBER(F91),E91&gt;0,F91&gt;0),SQRT(3)*'Bulk Calculator'!O11*'Bulk Calculator'!AA11*((E91*'Bulk Calculator'!Q11)+(F91*SQRT(1-'Bulk Calculator'!Q11^2)))/'Bulk Calculator'!J11/'Bulk Calculator'!K11*100,D91*'Bulk Calculator'!AA11*'Bulk Calculator'!O11/'Bulk Calculator'!J11/'Bulk Calculator'!K11*100),"")</f>
        <v>4.8044092806204364E-2</v>
      </c>
      <c r="J91">
        <f>IFERROR(IF(AND(ISNUMBER(E91),ISNUMBER(F91),E91&gt;0,F91&gt;0),SQRT(3)*'Bulk Calculator'!O11*'Bulk Calculator'!U11*((E91*'Bulk Calculator'!M11)+(F91*SQRT(1-'Bulk Calculator'!M11^2)))/'Bulk Calculator'!J11/'Bulk Calculator'!K11*100,D91*'Bulk Calculator'!U11*'Bulk Calculator'!O11/'Bulk Calculator'!J11/'Bulk Calculator'!K11*100),"")</f>
        <v>5.6624466149120686E-2</v>
      </c>
      <c r="K91">
        <f>IFERROR(G91*B91*'Bulk Calculator'!J11/SQRT('Bulk Calculator'!S11)/1000,"")</f>
        <v>17.16</v>
      </c>
      <c r="L91">
        <f>IF(OR('Bulk Calculator'!R11="",'Bulk Calculator'!S11="",G91=""),0,IF(K91&gt;='Bulk Calculator'!R11,1,0))</f>
        <v>1</v>
      </c>
      <c r="M91">
        <f>IF(AND(H91=1,I91&lt;='OS-DORAEN'!$B$6,J91&lt;='OS-DORAEN'!$B$5,L91=1),1,0)</f>
        <v>1</v>
      </c>
      <c r="N91" t="str">
        <f t="shared" si="1"/>
        <v>R/X</v>
      </c>
    </row>
    <row r="92" spans="1:14" ht="15" customHeight="1" x14ac:dyDescent="0.35">
      <c r="A92">
        <v>11</v>
      </c>
      <c r="B92">
        <v>95</v>
      </c>
      <c r="C92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Master'!$F:$F,B92),"")</f>
        <v>214</v>
      </c>
      <c r="D92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Master'!$F:$F,B92),"")</f>
        <v>0.72</v>
      </c>
      <c r="E92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Master'!$F:$F,B92),"")</f>
        <v>0.41</v>
      </c>
      <c r="F92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Master'!$F:$F,B92),"")</f>
        <v>7.3999999999999996E-2</v>
      </c>
      <c r="G92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Master'!$F:$F,B92),"")</f>
        <v>143</v>
      </c>
      <c r="H92">
        <f>IF(AND(ISNUMBER(C92),C92&gt;='Bulk Calculator'!U11/('Bulk Calculator'!J11*'Bulk Calculator'!L11)),1,0)</f>
        <v>1</v>
      </c>
      <c r="I92">
        <f>IFERROR(IF(AND(ISNUMBER(E92),ISNUMBER(F92),E92&gt;0,F92&gt;0),SQRT(3)*'Bulk Calculator'!O11*'Bulk Calculator'!AA11*((E92*'Bulk Calculator'!Q11)+(F92*SQRT(1-'Bulk Calculator'!Q11^2)))/'Bulk Calculator'!J11/'Bulk Calculator'!K11*100,D92*'Bulk Calculator'!AA11*'Bulk Calculator'!O11/'Bulk Calculator'!J11/'Bulk Calculator'!K11*100),"")</f>
        <v>5.5967777666250718E-2</v>
      </c>
      <c r="J92">
        <f>IFERROR(IF(AND(ISNUMBER(E92),ISNUMBER(F92),E92&gt;0,F92&gt;0),SQRT(3)*'Bulk Calculator'!O11*'Bulk Calculator'!U11*((E92*'Bulk Calculator'!M11)+(F92*SQRT(1-'Bulk Calculator'!M11^2)))/'Bulk Calculator'!J11/'Bulk Calculator'!K11*100,D92*'Bulk Calculator'!U11*'Bulk Calculator'!O11/'Bulk Calculator'!J11/'Bulk Calculator'!K11*100),"")</f>
        <v>6.9325670902531625E-2</v>
      </c>
      <c r="K92">
        <f>IFERROR(G92*B92*'Bulk Calculator'!J11/SQRT('Bulk Calculator'!S11)/1000,"")</f>
        <v>13.585000000000001</v>
      </c>
      <c r="L92">
        <f>IF(OR('Bulk Calculator'!R11="",'Bulk Calculator'!S11="",G92=""),0,IF(K92&gt;='Bulk Calculator'!R11,1,0))</f>
        <v>1</v>
      </c>
      <c r="M92">
        <f>IF(AND(H92=1,I92&lt;='OS-DORAEN'!$B$6,J92&lt;='OS-DORAEN'!$B$5,L92=1),1,0)</f>
        <v>1</v>
      </c>
      <c r="N92" t="str">
        <f t="shared" si="1"/>
        <v>R/X</v>
      </c>
    </row>
    <row r="93" spans="1:14" ht="15" customHeight="1" x14ac:dyDescent="0.35">
      <c r="A93">
        <v>11</v>
      </c>
      <c r="B93">
        <v>70</v>
      </c>
      <c r="C93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Master'!$F:$F,B93),"")</f>
        <v>173</v>
      </c>
      <c r="D93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Master'!$F:$F,B93),"")</f>
        <v>1.05</v>
      </c>
      <c r="E93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Master'!$F:$F,B93),"")</f>
        <v>0.56699999999999995</v>
      </c>
      <c r="F93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Master'!$F:$F,B93),"")</f>
        <v>7.6999999999999999E-2</v>
      </c>
      <c r="G93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Master'!$F:$F,B93),"")</f>
        <v>143</v>
      </c>
      <c r="H93">
        <f>IF(AND(ISNUMBER(C93),C93&gt;='Bulk Calculator'!U11/('Bulk Calculator'!J11*'Bulk Calculator'!L11)),1,0)</f>
        <v>1</v>
      </c>
      <c r="I93">
        <f>IFERROR(IF(AND(ISNUMBER(E93),ISNUMBER(F93),E93&gt;0,F93&gt;0),SQRT(3)*'Bulk Calculator'!O11*'Bulk Calculator'!AA11*((E93*'Bulk Calculator'!Q11)+(F93*SQRT(1-'Bulk Calculator'!Q11^2)))/'Bulk Calculator'!J11/'Bulk Calculator'!K11*100,D93*'Bulk Calculator'!AA11*'Bulk Calculator'!O11/'Bulk Calculator'!J11/'Bulk Calculator'!K11*100),"")</f>
        <v>7.0411861659642444E-2</v>
      </c>
      <c r="J93">
        <f>IFERROR(IF(AND(ISNUMBER(E93),ISNUMBER(F93),E93&gt;0,F93&gt;0),SQRT(3)*'Bulk Calculator'!O11*'Bulk Calculator'!U11*((E93*'Bulk Calculator'!M11)+(F93*SQRT(1-'Bulk Calculator'!M11^2)))/'Bulk Calculator'!J11/'Bulk Calculator'!K11*100,D93*'Bulk Calculator'!U11*'Bulk Calculator'!O11/'Bulk Calculator'!J11/'Bulk Calculator'!K11*100),"")</f>
        <v>9.2698596020481083E-2</v>
      </c>
      <c r="K93">
        <f>IFERROR(G93*B93*'Bulk Calculator'!J11/SQRT('Bulk Calculator'!S11)/1000,"")</f>
        <v>10.01</v>
      </c>
      <c r="L93">
        <f>IF(OR('Bulk Calculator'!R11="",'Bulk Calculator'!S11="",G93=""),0,IF(K93&gt;='Bulk Calculator'!R11,1,0))</f>
        <v>1</v>
      </c>
      <c r="M93">
        <f>IF(AND(H93=1,I93&lt;='OS-DORAEN'!$B$6,J93&lt;='OS-DORAEN'!$B$5,L93=1),1,0)</f>
        <v>1</v>
      </c>
      <c r="N93" t="str">
        <f t="shared" si="1"/>
        <v>R/X</v>
      </c>
    </row>
    <row r="94" spans="1:14" ht="15" customHeight="1" x14ac:dyDescent="0.35">
      <c r="A94">
        <v>11</v>
      </c>
      <c r="B94">
        <v>50</v>
      </c>
      <c r="C94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Master'!$F:$F,B94),"")</f>
        <v>137</v>
      </c>
      <c r="D94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Master'!$F:$F,B94),"")</f>
        <v>1.5</v>
      </c>
      <c r="E94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Master'!$F:$F,B94),"")</f>
        <v>0.82</v>
      </c>
      <c r="F94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Master'!$F:$F,B94),"")</f>
        <v>7.8E-2</v>
      </c>
      <c r="G94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Master'!$F:$F,B94),"")</f>
        <v>143</v>
      </c>
      <c r="H94">
        <f>IF(AND(ISNUMBER(C94),C94&gt;='Bulk Calculator'!U11/('Bulk Calculator'!J11*'Bulk Calculator'!L11)),1,0)</f>
        <v>1</v>
      </c>
      <c r="I94">
        <f>IFERROR(IF(AND(ISNUMBER(E94),ISNUMBER(F94),E94&gt;0,F94&gt;0),SQRT(3)*'Bulk Calculator'!O11*'Bulk Calculator'!AA11*((E94*'Bulk Calculator'!Q11)+(F94*SQRT(1-'Bulk Calculator'!Q11^2)))/'Bulk Calculator'!J11/'Bulk Calculator'!K11*100,D94*'Bulk Calculator'!AA11*'Bulk Calculator'!O11/'Bulk Calculator'!J11/'Bulk Calculator'!K11*100),"")</f>
        <v>9.2630523955744337E-2</v>
      </c>
      <c r="J94">
        <f>IFERROR(IF(AND(ISNUMBER(E94),ISNUMBER(F94),E94&gt;0,F94&gt;0),SQRT(3)*'Bulk Calculator'!O11*'Bulk Calculator'!U11*((E94*'Bulk Calculator'!M11)+(F94*SQRT(1-'Bulk Calculator'!M11^2)))/'Bulk Calculator'!J11/'Bulk Calculator'!K11*100,D94*'Bulk Calculator'!U11*'Bulk Calculator'!O11/'Bulk Calculator'!J11/'Bulk Calculator'!K11*100),"")</f>
        <v>0.12988293861545286</v>
      </c>
      <c r="K94">
        <f>IFERROR(G94*B94*'Bulk Calculator'!J11/SQRT('Bulk Calculator'!S11)/1000,"")</f>
        <v>7.15</v>
      </c>
      <c r="L94">
        <f>IF(OR('Bulk Calculator'!R11="",'Bulk Calculator'!S11="",G94=""),0,IF(K94&gt;='Bulk Calculator'!R11,1,0))</f>
        <v>0</v>
      </c>
      <c r="M94">
        <f>IF(AND(H94=1,I94&lt;='OS-DORAEN'!$B$6,J94&lt;='OS-DORAEN'!$B$5,L94=1),1,0)</f>
        <v>0</v>
      </c>
      <c r="N94" t="str">
        <f t="shared" si="1"/>
        <v>R/X</v>
      </c>
    </row>
    <row r="95" spans="1:14" ht="15" customHeight="1" x14ac:dyDescent="0.35">
      <c r="A95">
        <v>11</v>
      </c>
      <c r="B95">
        <v>35</v>
      </c>
      <c r="C95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Master'!$F:$F,B95),"")</f>
        <v>115</v>
      </c>
      <c r="D95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Master'!$F:$F,B95),"")</f>
        <v>2</v>
      </c>
      <c r="E95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Master'!$F:$F,B95),"")</f>
        <v>1.1100000000000001</v>
      </c>
      <c r="F95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Master'!$F:$F,B95),"")</f>
        <v>0.08</v>
      </c>
      <c r="G95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Master'!$F:$F,B95),"")</f>
        <v>143</v>
      </c>
      <c r="H95">
        <f>IF(AND(ISNUMBER(C95),C95&gt;='Bulk Calculator'!U11/('Bulk Calculator'!J11*'Bulk Calculator'!L11)),1,0)</f>
        <v>1</v>
      </c>
      <c r="I95">
        <f>IFERROR(IF(AND(ISNUMBER(E95),ISNUMBER(F95),E95&gt;0,F95&gt;0),SQRT(3)*'Bulk Calculator'!O11*'Bulk Calculator'!AA11*((E95*'Bulk Calculator'!Q11)+(F95*SQRT(1-'Bulk Calculator'!Q11^2)))/'Bulk Calculator'!J11/'Bulk Calculator'!K11*100,D95*'Bulk Calculator'!AA11*'Bulk Calculator'!O11/'Bulk Calculator'!J11/'Bulk Calculator'!K11*100),"")</f>
        <v>0.11833400963548732</v>
      </c>
      <c r="J95">
        <f>IFERROR(IF(AND(ISNUMBER(E95),ISNUMBER(F95),E95&gt;0,F95&gt;0),SQRT(3)*'Bulk Calculator'!O11*'Bulk Calculator'!U11*((E95*'Bulk Calculator'!M11)+(F95*SQRT(1-'Bulk Calculator'!M11^2)))/'Bulk Calculator'!J11/'Bulk Calculator'!K11*100,D95*'Bulk Calculator'!U11*'Bulk Calculator'!O11/'Bulk Calculator'!J11/'Bulk Calculator'!K11*100),"")</f>
        <v>0.17261225141990696</v>
      </c>
      <c r="K95">
        <f>IFERROR(G95*B95*'Bulk Calculator'!J11/SQRT('Bulk Calculator'!S11)/1000,"")</f>
        <v>5.0049999999999999</v>
      </c>
      <c r="L95">
        <f>IF(OR('Bulk Calculator'!R11="",'Bulk Calculator'!S11="",G95=""),0,IF(K95&gt;='Bulk Calculator'!R11,1,0))</f>
        <v>0</v>
      </c>
      <c r="M95">
        <f>IF(AND(H95=1,I95&lt;='OS-DORAEN'!$B$6,J95&lt;='OS-DORAEN'!$B$5,L95=1),1,0)</f>
        <v>0</v>
      </c>
      <c r="N95" t="str">
        <f t="shared" si="1"/>
        <v>R/X</v>
      </c>
    </row>
    <row r="96" spans="1:14" ht="15" customHeight="1" x14ac:dyDescent="0.35">
      <c r="A96">
        <v>11</v>
      </c>
      <c r="B96">
        <v>25</v>
      </c>
      <c r="C96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Master'!$F:$F,B96),"")</f>
        <v>95</v>
      </c>
      <c r="D96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Master'!$F:$F,B96),"")</f>
        <v>2.8</v>
      </c>
      <c r="E96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Master'!$F:$F,B96),"")</f>
        <v>1.54</v>
      </c>
      <c r="F96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Master'!$F:$F,B96),"")</f>
        <v>0.08</v>
      </c>
      <c r="G96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Master'!$F:$F,B96),"")</f>
        <v>143</v>
      </c>
      <c r="H96">
        <f>IF(AND(ISNUMBER(C96),C96&gt;='Bulk Calculator'!U11/('Bulk Calculator'!J11*'Bulk Calculator'!L11)),1,0)</f>
        <v>1</v>
      </c>
      <c r="I96">
        <f>IFERROR(IF(AND(ISNUMBER(E96),ISNUMBER(F96),E96&gt;0,F96&gt;0),SQRT(3)*'Bulk Calculator'!O11*'Bulk Calculator'!AA11*((E96*'Bulk Calculator'!Q11)+(F96*SQRT(1-'Bulk Calculator'!Q11^2)))/'Bulk Calculator'!J11/'Bulk Calculator'!K11*100,D96*'Bulk Calculator'!AA11*'Bulk Calculator'!O11/'Bulk Calculator'!J11/'Bulk Calculator'!K11*100),"")</f>
        <v>0.15562822598899725</v>
      </c>
      <c r="J96">
        <f>IFERROR(IF(AND(ISNUMBER(E96),ISNUMBER(F96),E96&gt;0,F96&gt;0),SQRT(3)*'Bulk Calculator'!O11*'Bulk Calculator'!U11*((E96*'Bulk Calculator'!M11)+(F96*SQRT(1-'Bulk Calculator'!M11^2)))/'Bulk Calculator'!J11/'Bulk Calculator'!K11*100,D96*'Bulk Calculator'!U11*'Bulk Calculator'!O11/'Bulk Calculator'!J11/'Bulk Calculator'!K11*100),"")</f>
        <v>0.23559803903916826</v>
      </c>
      <c r="K96">
        <f>IFERROR(G96*B96*'Bulk Calculator'!J11/SQRT('Bulk Calculator'!S11)/1000,"")</f>
        <v>3.5750000000000002</v>
      </c>
      <c r="L96">
        <f>IF(OR('Bulk Calculator'!R11="",'Bulk Calculator'!S11="",G96=""),0,IF(K96&gt;='Bulk Calculator'!R11,1,0))</f>
        <v>0</v>
      </c>
      <c r="M96">
        <f>IF(AND(H96=1,I96&lt;='OS-DORAEN'!$B$6,J96&lt;='OS-DORAEN'!$B$5,L96=1),1,0)</f>
        <v>0</v>
      </c>
      <c r="N96" t="str">
        <f t="shared" si="1"/>
        <v>R/X</v>
      </c>
    </row>
    <row r="97" spans="1:14" ht="15" customHeight="1" x14ac:dyDescent="0.35">
      <c r="A97">
        <v>11</v>
      </c>
      <c r="B97">
        <v>16</v>
      </c>
      <c r="C97">
        <f>IFERROR(SUMIFS('Cable Data Master'!$G:$G,'Cable Data Master'!$A:$A,'Bulk Calculator'!$BF11,'Cable Data Master'!$B:$B,'Bulk Calculator'!$BG11,'Cable Data Master'!$C:$C,'Bulk Calculator'!$BH11,'Cable Data Master'!$D:$D,'Bulk Calculator'!$BI11,'Cable Data Master'!$E:$E,'Bulk Calculator'!$BJ11,'Cable Data Master'!$F:$F,B97),"")</f>
        <v>73</v>
      </c>
      <c r="D97">
        <f>IFERROR(SUMIFS('Cable Data Master'!$K:$K,'Cable Data Master'!$A:$A,'Bulk Calculator'!$BF11,'Cable Data Master'!$B:$B,'Bulk Calculator'!$BG11,'Cable Data Master'!$C:$C,'Bulk Calculator'!$BH11,'Cable Data Master'!$D:$D,'Bulk Calculator'!$BI11,'Cable Data Master'!$E:$E,'Bulk Calculator'!$BJ11,'Cable Data Master'!$F:$F,B97),"")</f>
        <v>4.5</v>
      </c>
      <c r="E97">
        <f>IFERROR(SUMIFS('Cable Data Master'!$H:$H,'Cable Data Master'!$A:$A,'Bulk Calculator'!$BF11,'Cable Data Master'!$B:$B,'Bulk Calculator'!$BG11,'Cable Data Master'!$C:$C,'Bulk Calculator'!$BH11,'Cable Data Master'!$D:$D,'Bulk Calculator'!$BI11,'Cable Data Master'!$E:$E,'Bulk Calculator'!$BJ11,'Cable Data Master'!$F:$F,B97),"")</f>
        <v>1.54</v>
      </c>
      <c r="F97">
        <f>IFERROR(SUMIFS('Cable Data Master'!$I:$I,'Cable Data Master'!$A:$A,'Bulk Calculator'!$BF11,'Cable Data Master'!$B:$B,'Bulk Calculator'!$BG11,'Cable Data Master'!$C:$C,'Bulk Calculator'!$BH11,'Cable Data Master'!$D:$D,'Bulk Calculator'!$BI11,'Cable Data Master'!$E:$E,'Bulk Calculator'!$BJ11,'Cable Data Master'!$F:$F,B97),"")</f>
        <v>0.08</v>
      </c>
      <c r="G97">
        <f>IFERROR(SUMIFS('Cable Data Master'!$J:$J,'Cable Data Master'!$A:$A,'Bulk Calculator'!$BF11,'Cable Data Master'!$B:$B,'Bulk Calculator'!$BG11,'Cable Data Master'!$C:$C,'Bulk Calculator'!$BH11,'Cable Data Master'!$D:$D,'Bulk Calculator'!$BI11,'Cable Data Master'!$E:$E,'Bulk Calculator'!$BJ11,'Cable Data Master'!$F:$F,B97),"")</f>
        <v>143</v>
      </c>
      <c r="H97">
        <f>IF(AND(ISNUMBER(C97),C97&gt;='Bulk Calculator'!U11/('Bulk Calculator'!J11*'Bulk Calculator'!L11)),1,0)</f>
        <v>1</v>
      </c>
      <c r="I97">
        <f>IFERROR(IF(AND(ISNUMBER(E97),ISNUMBER(F97),E97&gt;0,F97&gt;0),SQRT(3)*'Bulk Calculator'!O11*'Bulk Calculator'!AA11*((E97*'Bulk Calculator'!Q11)+(F97*SQRT(1-'Bulk Calculator'!Q11^2)))/'Bulk Calculator'!J11/'Bulk Calculator'!K11*100,D97*'Bulk Calculator'!AA11*'Bulk Calculator'!O11/'Bulk Calculator'!J11/'Bulk Calculator'!K11*100),"")</f>
        <v>0.15562822598899725</v>
      </c>
      <c r="J97">
        <f>IFERROR(IF(AND(ISNUMBER(E97),ISNUMBER(F97),E97&gt;0,F97&gt;0),SQRT(3)*'Bulk Calculator'!O11*'Bulk Calculator'!U11*((E97*'Bulk Calculator'!M11)+(F97*SQRT(1-'Bulk Calculator'!M11^2)))/'Bulk Calculator'!J11/'Bulk Calculator'!K11*100,D97*'Bulk Calculator'!U11*'Bulk Calculator'!O11/'Bulk Calculator'!J11/'Bulk Calculator'!K11*100),"")</f>
        <v>0.23559803903916826</v>
      </c>
      <c r="K97">
        <f>IFERROR(G97*B97*'Bulk Calculator'!J11/SQRT('Bulk Calculator'!S11)/1000,"")</f>
        <v>2.2879999999999998</v>
      </c>
      <c r="L97">
        <f>IF(OR('Bulk Calculator'!R11="",'Bulk Calculator'!S11="",G97=""),0,IF(K97&gt;='Bulk Calculator'!R11,1,0))</f>
        <v>0</v>
      </c>
      <c r="M97">
        <f>IF(AND(H97=1,I97&lt;='OS-DORAEN'!$B$6,J97&lt;='OS-DORAEN'!$B$5,L97=1),1,0)</f>
        <v>0</v>
      </c>
      <c r="N97" t="str">
        <f t="shared" si="1"/>
        <v>R/X</v>
      </c>
    </row>
    <row r="98" spans="1:14" ht="15" customHeight="1" x14ac:dyDescent="0.35">
      <c r="A98">
        <v>12</v>
      </c>
      <c r="B98">
        <v>400</v>
      </c>
      <c r="C98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Master'!$F:$F,B98),"")</f>
        <v>530</v>
      </c>
      <c r="D98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Master'!$F:$F,B98),"")</f>
        <v>0.1023</v>
      </c>
      <c r="E98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Master'!$F:$F,B98),"")</f>
        <v>0.1023</v>
      </c>
      <c r="F98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Master'!$F:$F,B98),"")</f>
        <v>7.0000000000000007E-2</v>
      </c>
      <c r="G98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Master'!$F:$F,B98),"")</f>
        <v>143</v>
      </c>
      <c r="H98">
        <f>IF(AND(ISNUMBER(C98),C98&gt;='Bulk Calculator'!U12/('Bulk Calculator'!J12*'Bulk Calculator'!L12)),1,0)</f>
        <v>1</v>
      </c>
      <c r="I98">
        <f>IFERROR(IF(AND(ISNUMBER(E98),ISNUMBER(F98),E98&gt;0,F98&gt;0),SQRT(3)*'Bulk Calculator'!O12*'Bulk Calculator'!AA12*((E98*'Bulk Calculator'!Q12)+(F98*SQRT(1-'Bulk Calculator'!Q12^2)))/'Bulk Calculator'!J12/'Bulk Calculator'!K12*100,D98*'Bulk Calculator'!AA12*'Bulk Calculator'!O12/'Bulk Calculator'!J12/'Bulk Calculator'!K12*100),"")</f>
        <v>1.3959937305873019E-3</v>
      </c>
      <c r="J98">
        <f>IFERROR(IF(AND(ISNUMBER(E98),ISNUMBER(F98),E98&gt;0,F98&gt;0),SQRT(3)*'Bulk Calculator'!O12*'Bulk Calculator'!U12*((E98*'Bulk Calculator'!M12)+(F98*SQRT(1-'Bulk Calculator'!M12^2)))/'Bulk Calculator'!J12/'Bulk Calculator'!K12*100,D98*'Bulk Calculator'!U12*'Bulk Calculator'!O12/'Bulk Calculator'!J12/'Bulk Calculator'!K12*100),"")</f>
        <v>1.1824999999999997E-3</v>
      </c>
      <c r="K98">
        <f>IFERROR(G98*B98*'Bulk Calculator'!J12/SQRT('Bulk Calculator'!S12)/1000,"")</f>
        <v>114.4</v>
      </c>
      <c r="L98">
        <f>IF(OR('Bulk Calculator'!R12="",'Bulk Calculator'!S12="",G98=""),0,IF(K98&gt;='Bulk Calculator'!R12,1,0))</f>
        <v>1</v>
      </c>
      <c r="M98">
        <f>IF(AND(H98=1,I98&lt;='OS-DORAEN'!$B$6,J98&lt;='OS-DORAEN'!$B$5,L98=1),1,0)</f>
        <v>1</v>
      </c>
      <c r="N98" t="str">
        <f t="shared" si="1"/>
        <v>R/X</v>
      </c>
    </row>
    <row r="99" spans="1:14" ht="15" customHeight="1" x14ac:dyDescent="0.35">
      <c r="A99">
        <v>12</v>
      </c>
      <c r="B99">
        <v>300</v>
      </c>
      <c r="C99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Master'!$F:$F,B99),"")</f>
        <v>455</v>
      </c>
      <c r="D99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Master'!$F:$F,B99),"")</f>
        <v>0.13</v>
      </c>
      <c r="E99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Master'!$F:$F,B99),"")</f>
        <v>0.13</v>
      </c>
      <c r="F99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Master'!$F:$F,B99),"")</f>
        <v>7.0999999999999994E-2</v>
      </c>
      <c r="G99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Master'!$F:$F,B99),"")</f>
        <v>143</v>
      </c>
      <c r="H99">
        <f>IF(AND(ISNUMBER(C99),C99&gt;='Bulk Calculator'!U12/('Bulk Calculator'!J12*'Bulk Calculator'!L12)),1,0)</f>
        <v>1</v>
      </c>
      <c r="I99">
        <f>IFERROR(IF(AND(ISNUMBER(E99),ISNUMBER(F99),E99&gt;0,F99&gt;0),SQRT(3)*'Bulk Calculator'!O12*'Bulk Calculator'!AA12*((E99*'Bulk Calculator'!Q12)+(F99*SQRT(1-'Bulk Calculator'!Q12^2)))/'Bulk Calculator'!J12/'Bulk Calculator'!K12*100,D99*'Bulk Calculator'!AA12*'Bulk Calculator'!O12/'Bulk Calculator'!J12/'Bulk Calculator'!K12*100),"")</f>
        <v>1.5286803597742635E-3</v>
      </c>
      <c r="J99">
        <f>IFERROR(IF(AND(ISNUMBER(E99),ISNUMBER(F99),E99&gt;0,F99&gt;0),SQRT(3)*'Bulk Calculator'!O12*'Bulk Calculator'!U12*((E99*'Bulk Calculator'!M12)+(F99*SQRT(1-'Bulk Calculator'!M12^2)))/'Bulk Calculator'!J12/'Bulk Calculator'!K12*100,D99*'Bulk Calculator'!U12*'Bulk Calculator'!O12/'Bulk Calculator'!J12/'Bulk Calculator'!K12*100),"")</f>
        <v>1.3998263888888886E-3</v>
      </c>
      <c r="K99">
        <f>IFERROR(G99*B99*'Bulk Calculator'!J12/SQRT('Bulk Calculator'!S12)/1000,"")</f>
        <v>85.8</v>
      </c>
      <c r="L99">
        <f>IF(OR('Bulk Calculator'!R12="",'Bulk Calculator'!S12="",G99=""),0,IF(K99&gt;='Bulk Calculator'!R12,1,0))</f>
        <v>1</v>
      </c>
      <c r="M99">
        <f>IF(AND(H99=1,I99&lt;='OS-DORAEN'!$B$6,J99&lt;='OS-DORAEN'!$B$5,L99=1),1,0)</f>
        <v>1</v>
      </c>
      <c r="N99" t="str">
        <f t="shared" si="1"/>
        <v>R/X</v>
      </c>
    </row>
    <row r="100" spans="1:14" ht="15" customHeight="1" x14ac:dyDescent="0.35">
      <c r="A100">
        <v>12</v>
      </c>
      <c r="B100">
        <v>240</v>
      </c>
      <c r="C100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Master'!$F:$F,B100),"")</f>
        <v>399</v>
      </c>
      <c r="D100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Master'!$F:$F,B100),"")</f>
        <v>0.16200000000000001</v>
      </c>
      <c r="E100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Master'!$F:$F,B100),"")</f>
        <v>0.16200000000000001</v>
      </c>
      <c r="F100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Master'!$F:$F,B100),"")</f>
        <v>7.1999999999999995E-2</v>
      </c>
      <c r="G100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Master'!$F:$F,B100),"")</f>
        <v>143</v>
      </c>
      <c r="H100">
        <f>IF(AND(ISNUMBER(C100),C100&gt;='Bulk Calculator'!U12/('Bulk Calculator'!J12*'Bulk Calculator'!L12)),1,0)</f>
        <v>1</v>
      </c>
      <c r="I100">
        <f>IFERROR(IF(AND(ISNUMBER(E100),ISNUMBER(F100),E100&gt;0,F100&gt;0),SQRT(3)*'Bulk Calculator'!O12*'Bulk Calculator'!AA12*((E100*'Bulk Calculator'!Q12)+(F100*SQRT(1-'Bulk Calculator'!Q12^2)))/'Bulk Calculator'!J12/'Bulk Calculator'!K12*100,D100*'Bulk Calculator'!AA12*'Bulk Calculator'!O12/'Bulk Calculator'!J12/'Bulk Calculator'!K12*100),"")</f>
        <v>1.6798435514612246E-3</v>
      </c>
      <c r="J100">
        <f>IFERROR(IF(AND(ISNUMBER(E100),ISNUMBER(F100),E100&gt;0,F100&gt;0),SQRT(3)*'Bulk Calculator'!O12*'Bulk Calculator'!U12*((E100*'Bulk Calculator'!M12)+(F100*SQRT(1-'Bulk Calculator'!M12^2)))/'Bulk Calculator'!J12/'Bulk Calculator'!K12*100,D100*'Bulk Calculator'!U12*'Bulk Calculator'!O12/'Bulk Calculator'!J12/'Bulk Calculator'!K12*100),"")</f>
        <v>1.6499999999999996E-3</v>
      </c>
      <c r="K100">
        <f>IFERROR(G100*B100*'Bulk Calculator'!J12/SQRT('Bulk Calculator'!S12)/1000,"")</f>
        <v>68.64</v>
      </c>
      <c r="L100">
        <f>IF(OR('Bulk Calculator'!R12="",'Bulk Calculator'!S12="",G100=""),0,IF(K100&gt;='Bulk Calculator'!R12,1,0))</f>
        <v>1</v>
      </c>
      <c r="M100">
        <f>IF(AND(H100=1,I100&lt;='OS-DORAEN'!$B$6,J100&lt;='OS-DORAEN'!$B$5,L100=1),1,0)</f>
        <v>1</v>
      </c>
      <c r="N100" t="str">
        <f t="shared" si="1"/>
        <v>R/X</v>
      </c>
    </row>
    <row r="101" spans="1:14" ht="15" customHeight="1" x14ac:dyDescent="0.35">
      <c r="A101">
        <v>12</v>
      </c>
      <c r="B101">
        <v>185</v>
      </c>
      <c r="C101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Master'!$F:$F,B101),"")</f>
        <v>337</v>
      </c>
      <c r="D101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Master'!$F:$F,B101),"")</f>
        <v>0.21099999999999999</v>
      </c>
      <c r="E101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Master'!$F:$F,B101),"")</f>
        <v>0.21099999999999999</v>
      </c>
      <c r="F101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Master'!$F:$F,B101),"")</f>
        <v>7.1999999999999995E-2</v>
      </c>
      <c r="G101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Master'!$F:$F,B101),"")</f>
        <v>143</v>
      </c>
      <c r="H101">
        <f>IF(AND(ISNUMBER(C101),C101&gt;='Bulk Calculator'!U12/('Bulk Calculator'!J12*'Bulk Calculator'!L12)),1,0)</f>
        <v>1</v>
      </c>
      <c r="I101">
        <f>IFERROR(IF(AND(ISNUMBER(E101),ISNUMBER(F101),E101&gt;0,F101&gt;0),SQRT(3)*'Bulk Calculator'!O12*'Bulk Calculator'!AA12*((E101*'Bulk Calculator'!Q12)+(F101*SQRT(1-'Bulk Calculator'!Q12^2)))/'Bulk Calculator'!J12/'Bulk Calculator'!K12*100,D101*'Bulk Calculator'!AA12*'Bulk Calculator'!O12/'Bulk Calculator'!J12/'Bulk Calculator'!K12*100),"")</f>
        <v>1.8903904264612244E-3</v>
      </c>
      <c r="J101">
        <f>IFERROR(IF(AND(ISNUMBER(E101),ISNUMBER(F101),E101&gt;0,F101&gt;0),SQRT(3)*'Bulk Calculator'!O12*'Bulk Calculator'!U12*((E101*'Bulk Calculator'!M12)+(F101*SQRT(1-'Bulk Calculator'!M12^2)))/'Bulk Calculator'!J12/'Bulk Calculator'!K12*100,D101*'Bulk Calculator'!U12*'Bulk Calculator'!O12/'Bulk Calculator'!J12/'Bulk Calculator'!K12*100),"")</f>
        <v>2.0243055555555548E-3</v>
      </c>
      <c r="K101">
        <f>IFERROR(G101*B101*'Bulk Calculator'!J12/SQRT('Bulk Calculator'!S12)/1000,"")</f>
        <v>52.91</v>
      </c>
      <c r="L101">
        <f>IF(OR('Bulk Calculator'!R12="",'Bulk Calculator'!S12="",G101=""),0,IF(K101&gt;='Bulk Calculator'!R12,1,0))</f>
        <v>1</v>
      </c>
      <c r="M101">
        <f>IF(AND(H101=1,I101&lt;='OS-DORAEN'!$B$6,J101&lt;='OS-DORAEN'!$B$5,L101=1),1,0)</f>
        <v>1</v>
      </c>
      <c r="N101" t="str">
        <f t="shared" si="1"/>
        <v>R/X</v>
      </c>
    </row>
    <row r="102" spans="1:14" ht="15" customHeight="1" x14ac:dyDescent="0.35">
      <c r="A102">
        <v>12</v>
      </c>
      <c r="B102">
        <v>150</v>
      </c>
      <c r="C102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Master'!$F:$F,B102),"")</f>
        <v>292</v>
      </c>
      <c r="D102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Master'!$F:$F,B102),"")</f>
        <v>0.26500000000000001</v>
      </c>
      <c r="E102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Master'!$F:$F,B102),"")</f>
        <v>0.26500000000000001</v>
      </c>
      <c r="F102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Master'!$F:$F,B102),"")</f>
        <v>7.1999999999999995E-2</v>
      </c>
      <c r="G102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Master'!$F:$F,B102),"")</f>
        <v>143</v>
      </c>
      <c r="H102">
        <f>IF(AND(ISNUMBER(C102),C102&gt;='Bulk Calculator'!U12/('Bulk Calculator'!J12*'Bulk Calculator'!L12)),1,0)</f>
        <v>1</v>
      </c>
      <c r="I102">
        <f>IFERROR(IF(AND(ISNUMBER(E102),ISNUMBER(F102),E102&gt;0,F102&gt;0),SQRT(3)*'Bulk Calculator'!O12*'Bulk Calculator'!AA12*((E102*'Bulk Calculator'!Q12)+(F102*SQRT(1-'Bulk Calculator'!Q12^2)))/'Bulk Calculator'!J12/'Bulk Calculator'!K12*100,D102*'Bulk Calculator'!AA12*'Bulk Calculator'!O12/'Bulk Calculator'!J12/'Bulk Calculator'!K12*100),"")</f>
        <v>2.1224216764612245E-3</v>
      </c>
      <c r="J102">
        <f>IFERROR(IF(AND(ISNUMBER(E102),ISNUMBER(F102),E102&gt;0,F102&gt;0),SQRT(3)*'Bulk Calculator'!O12*'Bulk Calculator'!U12*((E102*'Bulk Calculator'!M12)+(F102*SQRT(1-'Bulk Calculator'!M12^2)))/'Bulk Calculator'!J12/'Bulk Calculator'!K12*100,D102*'Bulk Calculator'!U12*'Bulk Calculator'!O12/'Bulk Calculator'!J12/'Bulk Calculator'!K12*100),"")</f>
        <v>2.4368055555555549E-3</v>
      </c>
      <c r="K102">
        <f>IFERROR(G102*B102*'Bulk Calculator'!J12/SQRT('Bulk Calculator'!S12)/1000,"")</f>
        <v>42.9</v>
      </c>
      <c r="L102">
        <f>IF(OR('Bulk Calculator'!R12="",'Bulk Calculator'!S12="",G102=""),0,IF(K102&gt;='Bulk Calculator'!R12,1,0))</f>
        <v>1</v>
      </c>
      <c r="M102">
        <f>IF(AND(H102=1,I102&lt;='OS-DORAEN'!$B$6,J102&lt;='OS-DORAEN'!$B$5,L102=1),1,0)</f>
        <v>1</v>
      </c>
      <c r="N102" t="str">
        <f t="shared" si="1"/>
        <v>R/X</v>
      </c>
    </row>
    <row r="103" spans="1:14" ht="15" customHeight="1" x14ac:dyDescent="0.35">
      <c r="A103">
        <v>12</v>
      </c>
      <c r="B103">
        <v>120</v>
      </c>
      <c r="C103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Master'!$F:$F,B103),"")</f>
        <v>257</v>
      </c>
      <c r="D103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Master'!$F:$F,B103),"")</f>
        <v>0.32500000000000001</v>
      </c>
      <c r="E103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Master'!$F:$F,B103),"")</f>
        <v>0.32500000000000001</v>
      </c>
      <c r="F103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Master'!$F:$F,B103),"")</f>
        <v>7.1999999999999995E-2</v>
      </c>
      <c r="G103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Master'!$F:$F,B103),"")</f>
        <v>143</v>
      </c>
      <c r="H103">
        <f>IF(AND(ISNUMBER(C103),C103&gt;='Bulk Calculator'!U12/('Bulk Calculator'!J12*'Bulk Calculator'!L12)),1,0)</f>
        <v>1</v>
      </c>
      <c r="I103">
        <f>IFERROR(IF(AND(ISNUMBER(E103),ISNUMBER(F103),E103&gt;0,F103&gt;0),SQRT(3)*'Bulk Calculator'!O12*'Bulk Calculator'!AA12*((E103*'Bulk Calculator'!Q12)+(F103*SQRT(1-'Bulk Calculator'!Q12^2)))/'Bulk Calculator'!J12/'Bulk Calculator'!K12*100,D103*'Bulk Calculator'!AA12*'Bulk Calculator'!O12/'Bulk Calculator'!J12/'Bulk Calculator'!K12*100),"")</f>
        <v>2.3802341764612243E-3</v>
      </c>
      <c r="J103">
        <f>IFERROR(IF(AND(ISNUMBER(E103),ISNUMBER(F103),E103&gt;0,F103&gt;0),SQRT(3)*'Bulk Calculator'!O12*'Bulk Calculator'!U12*((E103*'Bulk Calculator'!M12)+(F103*SQRT(1-'Bulk Calculator'!M12^2)))/'Bulk Calculator'!J12/'Bulk Calculator'!K12*100,D103*'Bulk Calculator'!U12*'Bulk Calculator'!O12/'Bulk Calculator'!J12/'Bulk Calculator'!K12*100),"")</f>
        <v>2.8951388888888885E-3</v>
      </c>
      <c r="K103">
        <f>IFERROR(G103*B103*'Bulk Calculator'!J12/SQRT('Bulk Calculator'!S12)/1000,"")</f>
        <v>34.32</v>
      </c>
      <c r="L103">
        <f>IF(OR('Bulk Calculator'!R12="",'Bulk Calculator'!S12="",G103=""),0,IF(K103&gt;='Bulk Calculator'!R12,1,0))</f>
        <v>1</v>
      </c>
      <c r="M103">
        <f>IF(AND(H103=1,I103&lt;='OS-DORAEN'!$B$6,J103&lt;='OS-DORAEN'!$B$5,L103=1),1,0)</f>
        <v>1</v>
      </c>
      <c r="N103" t="str">
        <f t="shared" si="1"/>
        <v>R/X</v>
      </c>
    </row>
    <row r="104" spans="1:14" ht="15" customHeight="1" x14ac:dyDescent="0.35">
      <c r="A104">
        <v>12</v>
      </c>
      <c r="B104">
        <v>95</v>
      </c>
      <c r="C104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Master'!$F:$F,B104),"")</f>
        <v>221</v>
      </c>
      <c r="D104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Master'!$F:$F,B104),"")</f>
        <v>0.41</v>
      </c>
      <c r="E104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Master'!$F:$F,B104),"")</f>
        <v>0.41</v>
      </c>
      <c r="F104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Master'!$F:$F,B104),"")</f>
        <v>7.3999999999999996E-2</v>
      </c>
      <c r="G104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Master'!$F:$F,B104),"")</f>
        <v>143</v>
      </c>
      <c r="H104">
        <f>IF(AND(ISNUMBER(C104),C104&gt;='Bulk Calculator'!U12/('Bulk Calculator'!J12*'Bulk Calculator'!L12)),1,0)</f>
        <v>1</v>
      </c>
      <c r="I104">
        <f>IFERROR(IF(AND(ISNUMBER(E104),ISNUMBER(F104),E104&gt;0,F104&gt;0),SQRT(3)*'Bulk Calculator'!O12*'Bulk Calculator'!AA12*((E104*'Bulk Calculator'!Q12)+(F104*SQRT(1-'Bulk Calculator'!Q12^2)))/'Bulk Calculator'!J12/'Bulk Calculator'!K12*100,D104*'Bulk Calculator'!AA12*'Bulk Calculator'!O12/'Bulk Calculator'!J12/'Bulk Calculator'!K12*100),"")</f>
        <v>2.7727949348351467E-3</v>
      </c>
      <c r="J104">
        <f>IFERROR(IF(AND(ISNUMBER(E104),ISNUMBER(F104),E104&gt;0,F104&gt;0),SQRT(3)*'Bulk Calculator'!O12*'Bulk Calculator'!U12*((E104*'Bulk Calculator'!M12)+(F104*SQRT(1-'Bulk Calculator'!M12^2)))/'Bulk Calculator'!J12/'Bulk Calculator'!K12*100,D104*'Bulk Calculator'!U12*'Bulk Calculator'!O12/'Bulk Calculator'!J12/'Bulk Calculator'!K12*100),"")</f>
        <v>3.5559027777777768E-3</v>
      </c>
      <c r="K104">
        <f>IFERROR(G104*B104*'Bulk Calculator'!J12/SQRT('Bulk Calculator'!S12)/1000,"")</f>
        <v>27.17</v>
      </c>
      <c r="L104">
        <f>IF(OR('Bulk Calculator'!R12="",'Bulk Calculator'!S12="",G104=""),0,IF(K104&gt;='Bulk Calculator'!R12,1,0))</f>
        <v>1</v>
      </c>
      <c r="M104">
        <f>IF(AND(H104=1,I104&lt;='OS-DORAEN'!$B$6,J104&lt;='OS-DORAEN'!$B$5,L104=1),1,0)</f>
        <v>1</v>
      </c>
      <c r="N104" t="str">
        <f t="shared" si="1"/>
        <v>R/X</v>
      </c>
    </row>
    <row r="105" spans="1:14" ht="15" customHeight="1" x14ac:dyDescent="0.35">
      <c r="A105">
        <v>12</v>
      </c>
      <c r="B105">
        <v>70</v>
      </c>
      <c r="C105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Master'!$F:$F,B105),"")</f>
        <v>179</v>
      </c>
      <c r="D105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Master'!$F:$F,B105),"")</f>
        <v>0.56699999999999995</v>
      </c>
      <c r="E105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Master'!$F:$F,B105),"")</f>
        <v>0.56699999999999995</v>
      </c>
      <c r="F105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Master'!$F:$F,B105),"")</f>
        <v>7.6999999999999999E-2</v>
      </c>
      <c r="G105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Master'!$F:$F,B105),"")</f>
        <v>143</v>
      </c>
      <c r="H105">
        <f>IF(AND(ISNUMBER(C105),C105&gt;='Bulk Calculator'!U12/('Bulk Calculator'!J12*'Bulk Calculator'!L12)),1,0)</f>
        <v>1</v>
      </c>
      <c r="I105">
        <f>IFERROR(IF(AND(ISNUMBER(E105),ISNUMBER(F105),E105&gt;0,F105&gt;0),SQRT(3)*'Bulk Calculator'!O12*'Bulk Calculator'!AA12*((E105*'Bulk Calculator'!Q12)+(F105*SQRT(1-'Bulk Calculator'!Q12^2)))/'Bulk Calculator'!J12/'Bulk Calculator'!K12*100,D105*'Bulk Calculator'!AA12*'Bulk Calculator'!O12/'Bulk Calculator'!J12/'Bulk Calculator'!K12*100),"")</f>
        <v>3.4883938848960308E-3</v>
      </c>
      <c r="J105">
        <f>IFERROR(IF(AND(ISNUMBER(E105),ISNUMBER(F105),E105&gt;0,F105&gt;0),SQRT(3)*'Bulk Calculator'!O12*'Bulk Calculator'!U12*((E105*'Bulk Calculator'!M12)+(F105*SQRT(1-'Bulk Calculator'!M12^2)))/'Bulk Calculator'!J12/'Bulk Calculator'!K12*100,D105*'Bulk Calculator'!U12*'Bulk Calculator'!O12/'Bulk Calculator'!J12/'Bulk Calculator'!K12*100),"")</f>
        <v>4.7723958333333325E-3</v>
      </c>
      <c r="K105">
        <f>IFERROR(G105*B105*'Bulk Calculator'!J12/SQRT('Bulk Calculator'!S12)/1000,"")</f>
        <v>20.02</v>
      </c>
      <c r="L105">
        <f>IF(OR('Bulk Calculator'!R12="",'Bulk Calculator'!S12="",G105=""),0,IF(K105&gt;='Bulk Calculator'!R12,1,0))</f>
        <v>1</v>
      </c>
      <c r="M105">
        <f>IF(AND(H105=1,I105&lt;='OS-DORAEN'!$B$6,J105&lt;='OS-DORAEN'!$B$5,L105=1),1,0)</f>
        <v>1</v>
      </c>
      <c r="N105" t="str">
        <f t="shared" si="1"/>
        <v>R/X</v>
      </c>
    </row>
    <row r="106" spans="1:14" ht="15" customHeight="1" x14ac:dyDescent="0.35">
      <c r="A106">
        <v>12</v>
      </c>
      <c r="B106">
        <v>50</v>
      </c>
      <c r="C106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Master'!$F:$F,B106),"")</f>
        <v>142</v>
      </c>
      <c r="D106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Master'!$F:$F,B106),"")</f>
        <v>0.82</v>
      </c>
      <c r="E106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Master'!$F:$F,B106),"")</f>
        <v>0.82</v>
      </c>
      <c r="F106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Master'!$F:$F,B106),"")</f>
        <v>7.8E-2</v>
      </c>
      <c r="G106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Master'!$F:$F,B106),"")</f>
        <v>143</v>
      </c>
      <c r="H106">
        <f>IF(AND(ISNUMBER(C106),C106&gt;='Bulk Calculator'!U12/('Bulk Calculator'!J12*'Bulk Calculator'!L12)),1,0)</f>
        <v>1</v>
      </c>
      <c r="I106">
        <f>IFERROR(IF(AND(ISNUMBER(E106),ISNUMBER(F106),E106&gt;0,F106&gt;0),SQRT(3)*'Bulk Calculator'!O12*'Bulk Calculator'!AA12*((E106*'Bulk Calculator'!Q12)+(F106*SQRT(1-'Bulk Calculator'!Q12^2)))/'Bulk Calculator'!J12/'Bulk Calculator'!K12*100,D106*'Bulk Calculator'!AA12*'Bulk Calculator'!O12/'Bulk Calculator'!J12/'Bulk Calculator'!K12*100),"")</f>
        <v>4.5891664515829919E-3</v>
      </c>
      <c r="J106">
        <f>IFERROR(IF(AND(ISNUMBER(E106),ISNUMBER(F106),E106&gt;0,F106&gt;0),SQRT(3)*'Bulk Calculator'!O12*'Bulk Calculator'!U12*((E106*'Bulk Calculator'!M12)+(F106*SQRT(1-'Bulk Calculator'!M12^2)))/'Bulk Calculator'!J12/'Bulk Calculator'!K12*100,D106*'Bulk Calculator'!U12*'Bulk Calculator'!O12/'Bulk Calculator'!J12/'Bulk Calculator'!K12*100),"")</f>
        <v>6.7107638888888859E-3</v>
      </c>
      <c r="K106">
        <f>IFERROR(G106*B106*'Bulk Calculator'!J12/SQRT('Bulk Calculator'!S12)/1000,"")</f>
        <v>14.3</v>
      </c>
      <c r="L106">
        <f>IF(OR('Bulk Calculator'!R12="",'Bulk Calculator'!S12="",G106=""),0,IF(K106&gt;='Bulk Calculator'!R12,1,0))</f>
        <v>1</v>
      </c>
      <c r="M106">
        <f>IF(AND(H106=1,I106&lt;='OS-DORAEN'!$B$6,J106&lt;='OS-DORAEN'!$B$5,L106=1),1,0)</f>
        <v>1</v>
      </c>
      <c r="N106" t="str">
        <f t="shared" si="1"/>
        <v>R/X</v>
      </c>
    </row>
    <row r="107" spans="1:14" ht="15" customHeight="1" x14ac:dyDescent="0.35">
      <c r="A107">
        <v>12</v>
      </c>
      <c r="B107">
        <v>35</v>
      </c>
      <c r="C107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Master'!$F:$F,B107),"")</f>
        <v>117</v>
      </c>
      <c r="D107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Master'!$F:$F,B107),"")</f>
        <v>1.1100000000000001</v>
      </c>
      <c r="E107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Master'!$F:$F,B107),"")</f>
        <v>1.1100000000000001</v>
      </c>
      <c r="F107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Master'!$F:$F,B107),"")</f>
        <v>0.08</v>
      </c>
      <c r="G107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Master'!$F:$F,B107),"")</f>
        <v>143</v>
      </c>
      <c r="H107">
        <f>IF(AND(ISNUMBER(C107),C107&gt;='Bulk Calculator'!U12/('Bulk Calculator'!J12*'Bulk Calculator'!L12)),1,0)</f>
        <v>1</v>
      </c>
      <c r="I107">
        <f>IFERROR(IF(AND(ISNUMBER(E107),ISNUMBER(F107),E107&gt;0,F107&gt;0),SQRT(3)*'Bulk Calculator'!O12*'Bulk Calculator'!AA12*((E107*'Bulk Calculator'!Q12)+(F107*SQRT(1-'Bulk Calculator'!Q12^2)))/'Bulk Calculator'!J12/'Bulk Calculator'!K12*100,D107*'Bulk Calculator'!AA12*'Bulk Calculator'!O12/'Bulk Calculator'!J12/'Bulk Calculator'!K12*100),"")</f>
        <v>5.8625865849569157E-3</v>
      </c>
      <c r="J107">
        <f>IFERROR(IF(AND(ISNUMBER(E107),ISNUMBER(F107),E107&gt;0,F107&gt;0),SQRT(3)*'Bulk Calculator'!O12*'Bulk Calculator'!U12*((E107*'Bulk Calculator'!M12)+(F107*SQRT(1-'Bulk Calculator'!M12^2)))/'Bulk Calculator'!J12/'Bulk Calculator'!K12*100,D107*'Bulk Calculator'!U12*'Bulk Calculator'!O12/'Bulk Calculator'!J12/'Bulk Calculator'!K12*100),"")</f>
        <v>8.9374999999999993E-3</v>
      </c>
      <c r="K107">
        <f>IFERROR(G107*B107*'Bulk Calculator'!J12/SQRT('Bulk Calculator'!S12)/1000,"")</f>
        <v>10.01</v>
      </c>
      <c r="L107">
        <f>IF(OR('Bulk Calculator'!R12="",'Bulk Calculator'!S12="",G107=""),0,IF(K107&gt;='Bulk Calculator'!R12,1,0))</f>
        <v>1</v>
      </c>
      <c r="M107">
        <f>IF(AND(H107=1,I107&lt;='OS-DORAEN'!$B$6,J107&lt;='OS-DORAEN'!$B$5,L107=1),1,0)</f>
        <v>1</v>
      </c>
      <c r="N107" t="str">
        <f t="shared" si="1"/>
        <v>R/X</v>
      </c>
    </row>
    <row r="108" spans="1:14" ht="15" customHeight="1" x14ac:dyDescent="0.35">
      <c r="A108">
        <v>12</v>
      </c>
      <c r="B108">
        <v>25</v>
      </c>
      <c r="C108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Master'!$F:$F,B108),"")</f>
        <v>96</v>
      </c>
      <c r="D108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Master'!$F:$F,B108),"")</f>
        <v>1.54</v>
      </c>
      <c r="E108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Master'!$F:$F,B108),"")</f>
        <v>1.54</v>
      </c>
      <c r="F108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Master'!$F:$F,B108),"")</f>
        <v>0.08</v>
      </c>
      <c r="G108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Master'!$F:$F,B108),"")</f>
        <v>143</v>
      </c>
      <c r="H108">
        <f>IF(AND(ISNUMBER(C108),C108&gt;='Bulk Calculator'!U12/('Bulk Calculator'!J12*'Bulk Calculator'!L12)),1,0)</f>
        <v>1</v>
      </c>
      <c r="I108">
        <f>IFERROR(IF(AND(ISNUMBER(E108),ISNUMBER(F108),E108&gt;0,F108&gt;0),SQRT(3)*'Bulk Calculator'!O12*'Bulk Calculator'!AA12*((E108*'Bulk Calculator'!Q12)+(F108*SQRT(1-'Bulk Calculator'!Q12^2)))/'Bulk Calculator'!J12/'Bulk Calculator'!K12*100,D108*'Bulk Calculator'!AA12*'Bulk Calculator'!O12/'Bulk Calculator'!J12/'Bulk Calculator'!K12*100),"")</f>
        <v>7.7102428349569135E-3</v>
      </c>
      <c r="J108">
        <f>IFERROR(IF(AND(ISNUMBER(E108),ISNUMBER(F108),E108&gt;0,F108&gt;0),SQRT(3)*'Bulk Calculator'!O12*'Bulk Calculator'!U12*((E108*'Bulk Calculator'!M12)+(F108*SQRT(1-'Bulk Calculator'!M12^2)))/'Bulk Calculator'!J12/'Bulk Calculator'!K12*100,D108*'Bulk Calculator'!U12*'Bulk Calculator'!O12/'Bulk Calculator'!J12/'Bulk Calculator'!K12*100),"")</f>
        <v>1.2222222222222221E-2</v>
      </c>
      <c r="K108">
        <f>IFERROR(G108*B108*'Bulk Calculator'!J12/SQRT('Bulk Calculator'!S12)/1000,"")</f>
        <v>7.15</v>
      </c>
      <c r="L108">
        <f>IF(OR('Bulk Calculator'!R12="",'Bulk Calculator'!S12="",G108=""),0,IF(K108&gt;='Bulk Calculator'!R12,1,0))</f>
        <v>1</v>
      </c>
      <c r="M108">
        <f>IF(AND(H108=1,I108&lt;='OS-DORAEN'!$B$6,J108&lt;='OS-DORAEN'!$B$5,L108=1),1,0)</f>
        <v>1</v>
      </c>
      <c r="N108" t="str">
        <f t="shared" si="1"/>
        <v>R/X</v>
      </c>
    </row>
    <row r="109" spans="1:14" ht="15" customHeight="1" x14ac:dyDescent="0.35">
      <c r="A109">
        <v>12</v>
      </c>
      <c r="B109">
        <v>16</v>
      </c>
      <c r="C109">
        <f>IFERROR(SUMIFS('Cable Data Master'!$G:$G,'Cable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Master'!$F:$F,B109),"")</f>
        <v>0</v>
      </c>
      <c r="D109">
        <f>IFERROR(SUMIFS('Cable Data Master'!$K:$K,'Cable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Master'!$F:$F,B109),"")</f>
        <v>0</v>
      </c>
      <c r="E109">
        <f>IFERROR(SUMIFS('Cable Data Master'!$H:$H,'Cable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Master'!$F:$F,B109),"")</f>
        <v>0</v>
      </c>
      <c r="F109">
        <f>IFERROR(SUMIFS('Cable Data Master'!$I:$I,'Cable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Master'!$F:$F,B109),"")</f>
        <v>0</v>
      </c>
      <c r="G109">
        <f>IFERROR(SUMIFS('Cable Data Master'!$J:$J,'Cable Data Master'!$A:$A,'Bulk Calculator'!$BF12,'Cable Data Master'!$B:$B,'Bulk Calculator'!$BG12,'Cable Data Master'!$C:$C,'Bulk Calculator'!$BH12,'Cable Data Master'!$D:$D,'Bulk Calculator'!$BI12,'Cable Data Master'!$E:$E,'Bulk Calculator'!$BJ12,'Cable Data Master'!$F:$F,B109),"")</f>
        <v>0</v>
      </c>
      <c r="H109">
        <f>IF(AND(ISNUMBER(C109),C109&gt;='Bulk Calculator'!U12/('Bulk Calculator'!J12*'Bulk Calculator'!L12)),1,0)</f>
        <v>0</v>
      </c>
      <c r="I109">
        <f>IFERROR(IF(AND(ISNUMBER(E109),ISNUMBER(F109),E109&gt;0,F109&gt;0),SQRT(3)*'Bulk Calculator'!O12*'Bulk Calculator'!AA12*((E109*'Bulk Calculator'!Q12)+(F109*SQRT(1-'Bulk Calculator'!Q12^2)))/'Bulk Calculator'!J12/'Bulk Calculator'!K12*100,D109*'Bulk Calculator'!AA12*'Bulk Calculator'!O12/'Bulk Calculator'!J12/'Bulk Calculator'!K12*100),"")</f>
        <v>0</v>
      </c>
      <c r="J109">
        <f>IFERROR(IF(AND(ISNUMBER(E109),ISNUMBER(F109),E109&gt;0,F109&gt;0),SQRT(3)*'Bulk Calculator'!O12*'Bulk Calculator'!U12*((E109*'Bulk Calculator'!M12)+(F109*SQRT(1-'Bulk Calculator'!M12^2)))/'Bulk Calculator'!J12/'Bulk Calculator'!K12*100,D109*'Bulk Calculator'!U12*'Bulk Calculator'!O12/'Bulk Calculator'!J12/'Bulk Calculator'!K12*100),"")</f>
        <v>0</v>
      </c>
      <c r="K109">
        <f>IFERROR(G109*B109*'Bulk Calculator'!J12/SQRT('Bulk Calculator'!S12)/1000,"")</f>
        <v>0</v>
      </c>
      <c r="L109">
        <f>IF(OR('Bulk Calculator'!R12="",'Bulk Calculator'!S12="",G109=""),0,IF(K109&gt;='Bulk Calculator'!R12,1,0))</f>
        <v>0</v>
      </c>
      <c r="M109">
        <f>IF(AND(H109=1,I109&lt;='OS-DORAEN'!$B$6,J109&lt;='OS-DORAEN'!$B$5,L109=1),1,0)</f>
        <v>0</v>
      </c>
      <c r="N109" t="str">
        <f t="shared" si="1"/>
        <v>Manufacturer VD Ref</v>
      </c>
    </row>
    <row r="110" spans="1:14" ht="15" customHeight="1" x14ac:dyDescent="0.35">
      <c r="A110">
        <v>13</v>
      </c>
      <c r="B110">
        <v>400</v>
      </c>
      <c r="C110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Master'!$F:$F,B110),"")</f>
        <v>662.5</v>
      </c>
      <c r="D110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Master'!$F:$F,B110),"")</f>
        <v>8.2000000000000003E-2</v>
      </c>
      <c r="E110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Master'!$F:$F,B110),"")</f>
        <v>6.0199999999999997E-2</v>
      </c>
      <c r="F110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Master'!$F:$F,B110),"")</f>
        <v>7.0000000000000007E-2</v>
      </c>
      <c r="G110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Master'!$F:$F,B110),"")</f>
        <v>143</v>
      </c>
      <c r="H110">
        <f>IF(AND(ISNUMBER(C110),C110&gt;='Bulk Calculator'!U13/('Bulk Calculator'!J13*'Bulk Calculator'!L13)),1,0)</f>
        <v>1</v>
      </c>
      <c r="I110">
        <f>IFERROR(IF(AND(ISNUMBER(E110),ISNUMBER(F110),E110&gt;0,F110&gt;0),SQRT(3)*'Bulk Calculator'!O13*'Bulk Calculator'!AA13*((E110*'Bulk Calculator'!Q13)+(F110*SQRT(1-'Bulk Calculator'!Q13^2)))/'Bulk Calculator'!J13/'Bulk Calculator'!K13*100,D110*'Bulk Calculator'!AA13*'Bulk Calculator'!O13/'Bulk Calculator'!J13/'Bulk Calculator'!K13*100),"")</f>
        <v>6.8349110236160752E-4</v>
      </c>
      <c r="J110">
        <f>IFERROR(IF(AND(ISNUMBER(E110),ISNUMBER(F110),E110&gt;0,F110&gt;0),SQRT(3)*'Bulk Calculator'!O13*'Bulk Calculator'!U13*((E110*'Bulk Calculator'!M13)+(F110*SQRT(1-'Bulk Calculator'!M13^2)))/'Bulk Calculator'!J13/'Bulk Calculator'!K13*100,D110*'Bulk Calculator'!U13*'Bulk Calculator'!O13/'Bulk Calculator'!J13/'Bulk Calculator'!K13*100),"")</f>
        <v>4.8425781249999977E-4</v>
      </c>
      <c r="K110">
        <f>IFERROR(G110*B110*'Bulk Calculator'!J13/SQRT('Bulk Calculator'!S13)/1000,"")</f>
        <v>127.90308831298798</v>
      </c>
      <c r="L110">
        <f>IF(OR('Bulk Calculator'!R13="",'Bulk Calculator'!S13="",G110=""),0,IF(K110&gt;='Bulk Calculator'!R13,1,0))</f>
        <v>1</v>
      </c>
      <c r="M110">
        <f>IF(AND(H110=1,I110&lt;='OS-DORAEN'!$B$6,J110&lt;='OS-DORAEN'!$B$5,L110=1),1,0)</f>
        <v>1</v>
      </c>
      <c r="N110" t="str">
        <f t="shared" si="1"/>
        <v>R/X</v>
      </c>
    </row>
    <row r="111" spans="1:14" ht="15" customHeight="1" x14ac:dyDescent="0.35">
      <c r="A111">
        <v>13</v>
      </c>
      <c r="B111">
        <v>300</v>
      </c>
      <c r="C111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Master'!$F:$F,B111),"")</f>
        <v>568.79999999999995</v>
      </c>
      <c r="D111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Master'!$F:$F,B111),"")</f>
        <v>0.104</v>
      </c>
      <c r="E111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Master'!$F:$F,B111),"")</f>
        <v>7.6899999999999996E-2</v>
      </c>
      <c r="F111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Master'!$F:$F,B111),"")</f>
        <v>7.0999999999999994E-2</v>
      </c>
      <c r="G111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Master'!$F:$F,B111),"")</f>
        <v>143</v>
      </c>
      <c r="H111">
        <f>IF(AND(ISNUMBER(C111),C111&gt;='Bulk Calculator'!U13/('Bulk Calculator'!J13*'Bulk Calculator'!L13)),1,0)</f>
        <v>1</v>
      </c>
      <c r="I111">
        <f>IFERROR(IF(AND(ISNUMBER(E111),ISNUMBER(F111),E111&gt;0,F111&gt;0),SQRT(3)*'Bulk Calculator'!O13*'Bulk Calculator'!AA13*((E111*'Bulk Calculator'!Q13)+(F111*SQRT(1-'Bulk Calculator'!Q13^2)))/'Bulk Calculator'!J13/'Bulk Calculator'!K13*100,D111*'Bulk Calculator'!AA13*'Bulk Calculator'!O13/'Bulk Calculator'!J13/'Bulk Calculator'!K13*100),"")</f>
        <v>7.315404172167731E-4</v>
      </c>
      <c r="J111">
        <f>IFERROR(IF(AND(ISNUMBER(E111),ISNUMBER(F111),E111&gt;0,F111&gt;0),SQRT(3)*'Bulk Calculator'!O13*'Bulk Calculator'!U13*((E111*'Bulk Calculator'!M13)+(F111*SQRT(1-'Bulk Calculator'!M13^2)))/'Bulk Calculator'!J13/'Bulk Calculator'!K13*100,D111*'Bulk Calculator'!U13*'Bulk Calculator'!O13/'Bulk Calculator'!J13/'Bulk Calculator'!K13*100),"")</f>
        <v>5.5923828124999973E-4</v>
      </c>
      <c r="K111">
        <f>IFERROR(G111*B111*'Bulk Calculator'!J13/SQRT('Bulk Calculator'!S13)/1000,"")</f>
        <v>95.927316234740985</v>
      </c>
      <c r="L111">
        <f>IF(OR('Bulk Calculator'!R13="",'Bulk Calculator'!S13="",G111=""),0,IF(K111&gt;='Bulk Calculator'!R13,1,0))</f>
        <v>1</v>
      </c>
      <c r="M111">
        <f>IF(AND(H111=1,I111&lt;='OS-DORAEN'!$B$6,J111&lt;='OS-DORAEN'!$B$5,L111=1),1,0)</f>
        <v>1</v>
      </c>
      <c r="N111" t="str">
        <f t="shared" si="1"/>
        <v>R/X</v>
      </c>
    </row>
    <row r="112" spans="1:14" ht="15" customHeight="1" x14ac:dyDescent="0.35">
      <c r="A112">
        <v>13</v>
      </c>
      <c r="B112">
        <v>240</v>
      </c>
      <c r="C112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Master'!$F:$F,B112),"")</f>
        <v>498.8</v>
      </c>
      <c r="D112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Master'!$F:$F,B112),"")</f>
        <v>0.13</v>
      </c>
      <c r="E112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Master'!$F:$F,B112),"")</f>
        <v>9.6500000000000002E-2</v>
      </c>
      <c r="F112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Master'!$F:$F,B112),"")</f>
        <v>7.1999999999999995E-2</v>
      </c>
      <c r="G112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Master'!$F:$F,B112),"")</f>
        <v>143</v>
      </c>
      <c r="H112">
        <f>IF(AND(ISNUMBER(C112),C112&gt;='Bulk Calculator'!U13/('Bulk Calculator'!J13*'Bulk Calculator'!L13)),1,0)</f>
        <v>1</v>
      </c>
      <c r="I112">
        <f>IFERROR(IF(AND(ISNUMBER(E112),ISNUMBER(F112),E112&gt;0,F112&gt;0),SQRT(3)*'Bulk Calculator'!O13*'Bulk Calculator'!AA13*((E112*'Bulk Calculator'!Q13)+(F112*SQRT(1-'Bulk Calculator'!Q13^2)))/'Bulk Calculator'!J13/'Bulk Calculator'!K13*100,D112*'Bulk Calculator'!AA13*'Bulk Calculator'!O13/'Bulk Calculator'!J13/'Bulk Calculator'!K13*100),"")</f>
        <v>7.8659900941568885E-4</v>
      </c>
      <c r="J112">
        <f>IFERROR(IF(AND(ISNUMBER(E112),ISNUMBER(F112),E112&gt;0,F112&gt;0),SQRT(3)*'Bulk Calculator'!O13*'Bulk Calculator'!U13*((E112*'Bulk Calculator'!M13)+(F112*SQRT(1-'Bulk Calculator'!M13^2)))/'Bulk Calculator'!J13/'Bulk Calculator'!K13*100,D112*'Bulk Calculator'!U13*'Bulk Calculator'!O13/'Bulk Calculator'!J13/'Bulk Calculator'!K13*100),"")</f>
        <v>6.4667968749999979E-4</v>
      </c>
      <c r="K112">
        <f>IFERROR(G112*B112*'Bulk Calculator'!J13/SQRT('Bulk Calculator'!S13)/1000,"")</f>
        <v>76.741852987792782</v>
      </c>
      <c r="L112">
        <f>IF(OR('Bulk Calculator'!R13="",'Bulk Calculator'!S13="",G112=""),0,IF(K112&gt;='Bulk Calculator'!R13,1,0))</f>
        <v>1</v>
      </c>
      <c r="M112">
        <f>IF(AND(H112=1,I112&lt;='OS-DORAEN'!$B$6,J112&lt;='OS-DORAEN'!$B$5,L112=1),1,0)</f>
        <v>1</v>
      </c>
      <c r="N112" t="str">
        <f t="shared" si="1"/>
        <v>R/X</v>
      </c>
    </row>
    <row r="113" spans="1:14" ht="15" customHeight="1" x14ac:dyDescent="0.35">
      <c r="A113">
        <v>13</v>
      </c>
      <c r="B113">
        <v>185</v>
      </c>
      <c r="C113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Master'!$F:$F,B113),"")</f>
        <v>421.2</v>
      </c>
      <c r="D113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Master'!$F:$F,B113),"")</f>
        <v>0.16900000000000001</v>
      </c>
      <c r="E113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Master'!$F:$F,B113),"")</f>
        <v>0.127</v>
      </c>
      <c r="F113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Master'!$F:$F,B113),"")</f>
        <v>7.1999999999999995E-2</v>
      </c>
      <c r="G113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Master'!$F:$F,B113),"")</f>
        <v>143</v>
      </c>
      <c r="H113">
        <f>IF(AND(ISNUMBER(C113),C113&gt;='Bulk Calculator'!U13/('Bulk Calculator'!J13*'Bulk Calculator'!L13)),1,0)</f>
        <v>1</v>
      </c>
      <c r="I113">
        <f>IFERROR(IF(AND(ISNUMBER(E113),ISNUMBER(F113),E113&gt;0,F113&gt;0),SQRT(3)*'Bulk Calculator'!O13*'Bulk Calculator'!AA13*((E113*'Bulk Calculator'!Q13)+(F113*SQRT(1-'Bulk Calculator'!Q13^2)))/'Bulk Calculator'!J13/'Bulk Calculator'!K13*100,D113*'Bulk Calculator'!AA13*'Bulk Calculator'!O13/'Bulk Calculator'!J13/'Bulk Calculator'!K13*100),"")</f>
        <v>8.603172711344391E-4</v>
      </c>
      <c r="J113">
        <f>IFERROR(IF(AND(ISNUMBER(E113),ISNUMBER(F113),E113&gt;0,F113&gt;0),SQRT(3)*'Bulk Calculator'!O13*'Bulk Calculator'!U13*((E113*'Bulk Calculator'!M13)+(F113*SQRT(1-'Bulk Calculator'!M13^2)))/'Bulk Calculator'!J13/'Bulk Calculator'!K13*100,D113*'Bulk Calculator'!U13*'Bulk Calculator'!O13/'Bulk Calculator'!J13/'Bulk Calculator'!K13*100),"")</f>
        <v>7.7773437499999967E-4</v>
      </c>
      <c r="K113">
        <f>IFERROR(G113*B113*'Bulk Calculator'!J13/SQRT('Bulk Calculator'!S13)/1000,"")</f>
        <v>59.155178344756941</v>
      </c>
      <c r="L113">
        <f>IF(OR('Bulk Calculator'!R13="",'Bulk Calculator'!S13="",G113=""),0,IF(K113&gt;='Bulk Calculator'!R13,1,0))</f>
        <v>1</v>
      </c>
      <c r="M113">
        <f>IF(AND(H113=1,I113&lt;='OS-DORAEN'!$B$6,J113&lt;='OS-DORAEN'!$B$5,L113=1),1,0)</f>
        <v>1</v>
      </c>
      <c r="N113" t="str">
        <f t="shared" si="1"/>
        <v>R/X</v>
      </c>
    </row>
    <row r="114" spans="1:14" ht="15" customHeight="1" x14ac:dyDescent="0.35">
      <c r="A114">
        <v>13</v>
      </c>
      <c r="B114">
        <v>150</v>
      </c>
      <c r="C114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Master'!$F:$F,B114),"")</f>
        <v>365</v>
      </c>
      <c r="D114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Master'!$F:$F,B114),"")</f>
        <v>0.21199999999999999</v>
      </c>
      <c r="E114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Master'!$F:$F,B114),"")</f>
        <v>0.159</v>
      </c>
      <c r="F114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Master'!$F:$F,B114),"")</f>
        <v>7.1999999999999995E-2</v>
      </c>
      <c r="G114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Master'!$F:$F,B114),"")</f>
        <v>143</v>
      </c>
      <c r="H114">
        <f>IF(AND(ISNUMBER(C114),C114&gt;='Bulk Calculator'!U13/('Bulk Calculator'!J13*'Bulk Calculator'!L13)),1,0)</f>
        <v>1</v>
      </c>
      <c r="I114">
        <f>IFERROR(IF(AND(ISNUMBER(E114),ISNUMBER(F114),E114&gt;0,F114&gt;0),SQRT(3)*'Bulk Calculator'!O13*'Bulk Calculator'!AA13*((E114*'Bulk Calculator'!Q13)+(F114*SQRT(1-'Bulk Calculator'!Q13^2)))/'Bulk Calculator'!J13/'Bulk Calculator'!K13*100,D114*'Bulk Calculator'!AA13*'Bulk Calculator'!O13/'Bulk Calculator'!J13/'Bulk Calculator'!K13*100),"")</f>
        <v>9.3766102113443904E-4</v>
      </c>
      <c r="J114">
        <f>IFERROR(IF(AND(ISNUMBER(E114),ISNUMBER(F114),E114&gt;0,F114&gt;0),SQRT(3)*'Bulk Calculator'!O13*'Bulk Calculator'!U13*((E114*'Bulk Calculator'!M13)+(F114*SQRT(1-'Bulk Calculator'!M13^2)))/'Bulk Calculator'!J13/'Bulk Calculator'!K13*100,D114*'Bulk Calculator'!U13*'Bulk Calculator'!O13/'Bulk Calculator'!J13/'Bulk Calculator'!K13*100),"")</f>
        <v>9.1523437499999971E-4</v>
      </c>
      <c r="K114">
        <f>IFERROR(G114*B114*'Bulk Calculator'!J13/SQRT('Bulk Calculator'!S13)/1000,"")</f>
        <v>47.963658117370493</v>
      </c>
      <c r="L114">
        <f>IF(OR('Bulk Calculator'!R13="",'Bulk Calculator'!S13="",G114=""),0,IF(K114&gt;='Bulk Calculator'!R13,1,0))</f>
        <v>1</v>
      </c>
      <c r="M114">
        <f>IF(AND(H114=1,I114&lt;='OS-DORAEN'!$B$6,J114&lt;='OS-DORAEN'!$B$5,L114=1),1,0)</f>
        <v>1</v>
      </c>
      <c r="N114" t="str">
        <f t="shared" si="1"/>
        <v>R/X</v>
      </c>
    </row>
    <row r="115" spans="1:14" ht="15" customHeight="1" x14ac:dyDescent="0.35">
      <c r="A115">
        <v>13</v>
      </c>
      <c r="B115">
        <v>120</v>
      </c>
      <c r="C115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Master'!$F:$F,B115),"")</f>
        <v>321.2</v>
      </c>
      <c r="D115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Master'!$F:$F,B115),"")</f>
        <v>0.26</v>
      </c>
      <c r="E115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Master'!$F:$F,B115),"")</f>
        <v>0.19600000000000001</v>
      </c>
      <c r="F115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Master'!$F:$F,B115),"")</f>
        <v>7.1999999999999995E-2</v>
      </c>
      <c r="G115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Master'!$F:$F,B115),"")</f>
        <v>143</v>
      </c>
      <c r="H115">
        <f>IF(AND(ISNUMBER(C115),C115&gt;='Bulk Calculator'!U13/('Bulk Calculator'!J13*'Bulk Calculator'!L13)),1,0)</f>
        <v>1</v>
      </c>
      <c r="I115">
        <f>IFERROR(IF(AND(ISNUMBER(E115),ISNUMBER(F115),E115&gt;0,F115&gt;0),SQRT(3)*'Bulk Calculator'!O13*'Bulk Calculator'!AA13*((E115*'Bulk Calculator'!Q13)+(F115*SQRT(1-'Bulk Calculator'!Q13^2)))/'Bulk Calculator'!J13/'Bulk Calculator'!K13*100,D115*'Bulk Calculator'!AA13*'Bulk Calculator'!O13/'Bulk Calculator'!J13/'Bulk Calculator'!K13*100),"")</f>
        <v>1.027089732071939E-3</v>
      </c>
      <c r="J115">
        <f>IFERROR(IF(AND(ISNUMBER(E115),ISNUMBER(F115),E115&gt;0,F115&gt;0),SQRT(3)*'Bulk Calculator'!O13*'Bulk Calculator'!U13*((E115*'Bulk Calculator'!M13)+(F115*SQRT(1-'Bulk Calculator'!M13^2)))/'Bulk Calculator'!J13/'Bulk Calculator'!K13*100,D115*'Bulk Calculator'!U13*'Bulk Calculator'!O13/'Bulk Calculator'!J13/'Bulk Calculator'!K13*100),"")</f>
        <v>1.0742187499999997E-3</v>
      </c>
      <c r="K115">
        <f>IFERROR(G115*B115*'Bulk Calculator'!J13/SQRT('Bulk Calculator'!S13)/1000,"")</f>
        <v>38.370926493896391</v>
      </c>
      <c r="L115">
        <f>IF(OR('Bulk Calculator'!R13="",'Bulk Calculator'!S13="",G115=""),0,IF(K115&gt;='Bulk Calculator'!R13,1,0))</f>
        <v>1</v>
      </c>
      <c r="M115">
        <f>IF(AND(H115=1,I115&lt;='OS-DORAEN'!$B$6,J115&lt;='OS-DORAEN'!$B$5,L115=1),1,0)</f>
        <v>1</v>
      </c>
      <c r="N115" t="str">
        <f t="shared" si="1"/>
        <v>R/X</v>
      </c>
    </row>
    <row r="116" spans="1:14" ht="15" customHeight="1" x14ac:dyDescent="0.35">
      <c r="A116">
        <v>13</v>
      </c>
      <c r="B116">
        <v>95</v>
      </c>
      <c r="C116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Master'!$F:$F,B116),"")</f>
        <v>276.2</v>
      </c>
      <c r="D116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Master'!$F:$F,B116),"")</f>
        <v>0.32800000000000001</v>
      </c>
      <c r="E116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Master'!$F:$F,B116),"")</f>
        <v>0.247</v>
      </c>
      <c r="F116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Master'!$F:$F,B116),"")</f>
        <v>7.3999999999999996E-2</v>
      </c>
      <c r="G116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Master'!$F:$F,B116),"")</f>
        <v>143</v>
      </c>
      <c r="H116">
        <f>IF(AND(ISNUMBER(C116),C116&gt;='Bulk Calculator'!U13/('Bulk Calculator'!J13*'Bulk Calculator'!L13)),1,0)</f>
        <v>1</v>
      </c>
      <c r="I116">
        <f>IFERROR(IF(AND(ISNUMBER(E116),ISNUMBER(F116),E116&gt;0,F116&gt;0),SQRT(3)*'Bulk Calculator'!O13*'Bulk Calculator'!AA13*((E116*'Bulk Calculator'!Q13)+(F116*SQRT(1-'Bulk Calculator'!Q13^2)))/'Bulk Calculator'!J13/'Bulk Calculator'!K13*100,D116*'Bulk Calculator'!AA13*'Bulk Calculator'!O13/'Bulk Calculator'!J13/'Bulk Calculator'!K13*100),"")</f>
        <v>1.1657274242822704E-3</v>
      </c>
      <c r="J116">
        <f>IFERROR(IF(AND(ISNUMBER(E116),ISNUMBER(F116),E116&gt;0,F116&gt;0),SQRT(3)*'Bulk Calculator'!O13*'Bulk Calculator'!U13*((E116*'Bulk Calculator'!M13)+(F116*SQRT(1-'Bulk Calculator'!M13^2)))/'Bulk Calculator'!J13/'Bulk Calculator'!K13*100,D116*'Bulk Calculator'!U13*'Bulk Calculator'!O13/'Bulk Calculator'!J13/'Bulk Calculator'!K13*100),"")</f>
        <v>1.2998046874999995E-3</v>
      </c>
      <c r="K116">
        <f>IFERROR(G116*B116*'Bulk Calculator'!J13/SQRT('Bulk Calculator'!S13)/1000,"")</f>
        <v>30.376983474334644</v>
      </c>
      <c r="L116">
        <f>IF(OR('Bulk Calculator'!R13="",'Bulk Calculator'!S13="",G116=""),0,IF(K116&gt;='Bulk Calculator'!R13,1,0))</f>
        <v>1</v>
      </c>
      <c r="M116">
        <f>IF(AND(H116=1,I116&lt;='OS-DORAEN'!$B$6,J116&lt;='OS-DORAEN'!$B$5,L116=1),1,0)</f>
        <v>1</v>
      </c>
      <c r="N116" t="str">
        <f t="shared" si="1"/>
        <v>R/X</v>
      </c>
    </row>
    <row r="117" spans="1:14" ht="15" customHeight="1" x14ac:dyDescent="0.35">
      <c r="A117">
        <v>13</v>
      </c>
      <c r="B117">
        <v>70</v>
      </c>
      <c r="C117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Master'!$F:$F,B117),"")</f>
        <v>223.8</v>
      </c>
      <c r="D117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Master'!$F:$F,B117),"")</f>
        <v>0.45400000000000001</v>
      </c>
      <c r="E117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Master'!$F:$F,B117),"")</f>
        <v>0.34300000000000003</v>
      </c>
      <c r="F117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Master'!$F:$F,B117),"")</f>
        <v>7.6999999999999999E-2</v>
      </c>
      <c r="G117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Master'!$F:$F,B117),"")</f>
        <v>143</v>
      </c>
      <c r="H117">
        <f>IF(AND(ISNUMBER(C117),C117&gt;='Bulk Calculator'!U13/('Bulk Calculator'!J13*'Bulk Calculator'!L13)),1,0)</f>
        <v>1</v>
      </c>
      <c r="I117">
        <f>IFERROR(IF(AND(ISNUMBER(E117),ISNUMBER(F117),E117&gt;0,F117&gt;0),SQRT(3)*'Bulk Calculator'!O13*'Bulk Calculator'!AA13*((E117*'Bulk Calculator'!Q13)+(F117*SQRT(1-'Bulk Calculator'!Q13^2)))/'Bulk Calculator'!J13/'Bulk Calculator'!K13*100,D117*'Bulk Calculator'!AA13*'Bulk Calculator'!O13/'Bulk Calculator'!J13/'Bulk Calculator'!K13*100),"")</f>
        <v>1.420815310254018E-3</v>
      </c>
      <c r="J117">
        <f>IFERROR(IF(AND(ISNUMBER(E117),ISNUMBER(F117),E117&gt;0,F117&gt;0),SQRT(3)*'Bulk Calculator'!O13*'Bulk Calculator'!U13*((E117*'Bulk Calculator'!M13)+(F117*SQRT(1-'Bulk Calculator'!M13^2)))/'Bulk Calculator'!J13/'Bulk Calculator'!K13*100,D117*'Bulk Calculator'!U13*'Bulk Calculator'!O13/'Bulk Calculator'!J13/'Bulk Calculator'!K13*100),"")</f>
        <v>1.7219726562499997E-3</v>
      </c>
      <c r="K117">
        <f>IFERROR(G117*B117*'Bulk Calculator'!J13/SQRT('Bulk Calculator'!S13)/1000,"")</f>
        <v>22.383040454772893</v>
      </c>
      <c r="L117">
        <f>IF(OR('Bulk Calculator'!R13="",'Bulk Calculator'!S13="",G117=""),0,IF(K117&gt;='Bulk Calculator'!R13,1,0))</f>
        <v>1</v>
      </c>
      <c r="M117">
        <f>IF(AND(H117=1,I117&lt;='OS-DORAEN'!$B$6,J117&lt;='OS-DORAEN'!$B$5,L117=1),1,0)</f>
        <v>1</v>
      </c>
      <c r="N117" t="str">
        <f t="shared" si="1"/>
        <v>R/X</v>
      </c>
    </row>
    <row r="118" spans="1:14" ht="15" customHeight="1" x14ac:dyDescent="0.35">
      <c r="A118">
        <v>13</v>
      </c>
      <c r="B118">
        <v>50</v>
      </c>
      <c r="C118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Master'!$F:$F,B118),"")</f>
        <v>177.5</v>
      </c>
      <c r="D118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Master'!$F:$F,B118),"")</f>
        <v>0.65600000000000003</v>
      </c>
      <c r="E118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Master'!$F:$F,B118),"")</f>
        <v>0.495</v>
      </c>
      <c r="F118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Master'!$F:$F,B118),"")</f>
        <v>7.8E-2</v>
      </c>
      <c r="G118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Master'!$F:$F,B118),"")</f>
        <v>143</v>
      </c>
      <c r="H118">
        <f>IF(AND(ISNUMBER(C118),C118&gt;='Bulk Calculator'!U13/('Bulk Calculator'!J13*'Bulk Calculator'!L13)),1,0)</f>
        <v>1</v>
      </c>
      <c r="I118">
        <f>IFERROR(IF(AND(ISNUMBER(E118),ISNUMBER(F118),E118&gt;0,F118&gt;0),SQRT(3)*'Bulk Calculator'!O13*'Bulk Calculator'!AA13*((E118*'Bulk Calculator'!Q13)+(F118*SQRT(1-'Bulk Calculator'!Q13^2)))/'Bulk Calculator'!J13/'Bulk Calculator'!K13*100,D118*'Bulk Calculator'!AA13*'Bulk Calculator'!O13/'Bulk Calculator'!J13/'Bulk Calculator'!K13*100),"")</f>
        <v>1.7958836680779335E-3</v>
      </c>
      <c r="J118">
        <f>IFERROR(IF(AND(ISNUMBER(E118),ISNUMBER(F118),E118&gt;0,F118&gt;0),SQRT(3)*'Bulk Calculator'!O13*'Bulk Calculator'!U13*((E118*'Bulk Calculator'!M13)+(F118*SQRT(1-'Bulk Calculator'!M13^2)))/'Bulk Calculator'!J13/'Bulk Calculator'!K13*100,D118*'Bulk Calculator'!U13*'Bulk Calculator'!O13/'Bulk Calculator'!J13/'Bulk Calculator'!K13*100),"")</f>
        <v>2.3783203124999996E-3</v>
      </c>
      <c r="K118">
        <f>IFERROR(G118*B118*'Bulk Calculator'!J13/SQRT('Bulk Calculator'!S13)/1000,"")</f>
        <v>15.987886039123497</v>
      </c>
      <c r="L118">
        <f>IF(OR('Bulk Calculator'!R13="",'Bulk Calculator'!S13="",G118=""),0,IF(K118&gt;='Bulk Calculator'!R13,1,0))</f>
        <v>1</v>
      </c>
      <c r="M118">
        <f>IF(AND(H118=1,I118&lt;='OS-DORAEN'!$B$6,J118&lt;='OS-DORAEN'!$B$5,L118=1),1,0)</f>
        <v>1</v>
      </c>
      <c r="N118" t="str">
        <f t="shared" si="1"/>
        <v>R/X</v>
      </c>
    </row>
    <row r="119" spans="1:14" ht="15" customHeight="1" x14ac:dyDescent="0.35">
      <c r="A119">
        <v>13</v>
      </c>
      <c r="B119">
        <v>35</v>
      </c>
      <c r="C119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Master'!$F:$F,B119),"")</f>
        <v>146.19999999999999</v>
      </c>
      <c r="D119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Master'!$F:$F,B119),"")</f>
        <v>0.88800000000000001</v>
      </c>
      <c r="E119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Master'!$F:$F,B119),"")</f>
        <v>0.67100000000000004</v>
      </c>
      <c r="F119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Master'!$F:$F,B119),"")</f>
        <v>0.08</v>
      </c>
      <c r="G119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Master'!$F:$F,B119),"")</f>
        <v>143</v>
      </c>
      <c r="H119">
        <f>IF(AND(ISNUMBER(C119),C119&gt;='Bulk Calculator'!U13/('Bulk Calculator'!J13*'Bulk Calculator'!L13)),1,0)</f>
        <v>1</v>
      </c>
      <c r="I119">
        <f>IFERROR(IF(AND(ISNUMBER(E119),ISNUMBER(F119),E119&gt;0,F119&gt;0),SQRT(3)*'Bulk Calculator'!O13*'Bulk Calculator'!AA13*((E119*'Bulk Calculator'!Q13)+(F119*SQRT(1-'Bulk Calculator'!Q13^2)))/'Bulk Calculator'!J13/'Bulk Calculator'!K13*100,D119*'Bulk Calculator'!AA13*'Bulk Calculator'!O13/'Bulk Calculator'!J13/'Bulk Calculator'!K13*100),"")</f>
        <v>2.2366453837257654E-3</v>
      </c>
      <c r="J119">
        <f>IFERROR(IF(AND(ISNUMBER(E119),ISNUMBER(F119),E119&gt;0,F119&gt;0),SQRT(3)*'Bulk Calculator'!O13*'Bulk Calculator'!U13*((E119*'Bulk Calculator'!M13)+(F119*SQRT(1-'Bulk Calculator'!M13^2)))/'Bulk Calculator'!J13/'Bulk Calculator'!K13*100,D119*'Bulk Calculator'!U13*'Bulk Calculator'!O13/'Bulk Calculator'!J13/'Bulk Calculator'!K13*100),"")</f>
        <v>3.1410156249999993E-3</v>
      </c>
      <c r="K119">
        <f>IFERROR(G119*B119*'Bulk Calculator'!J13/SQRT('Bulk Calculator'!S13)/1000,"")</f>
        <v>11.191520227386446</v>
      </c>
      <c r="L119">
        <f>IF(OR('Bulk Calculator'!R13="",'Bulk Calculator'!S13="",G119=""),0,IF(K119&gt;='Bulk Calculator'!R13,1,0))</f>
        <v>1</v>
      </c>
      <c r="M119">
        <f>IF(AND(H119=1,I119&lt;='OS-DORAEN'!$B$6,J119&lt;='OS-DORAEN'!$B$5,L119=1),1,0)</f>
        <v>1</v>
      </c>
      <c r="N119" t="str">
        <f t="shared" si="1"/>
        <v>R/X</v>
      </c>
    </row>
    <row r="120" spans="1:14" ht="15" customHeight="1" x14ac:dyDescent="0.35">
      <c r="A120">
        <v>13</v>
      </c>
      <c r="B120">
        <v>25</v>
      </c>
      <c r="C120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Master'!$F:$F,B120),"")</f>
        <v>120</v>
      </c>
      <c r="D120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Master'!$F:$F,B120),"")</f>
        <v>1.232</v>
      </c>
      <c r="E120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Master'!$F:$F,B120),"")</f>
        <v>0.93</v>
      </c>
      <c r="F120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Master'!$F:$F,B120),"")</f>
        <v>0.08</v>
      </c>
      <c r="G120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Master'!$F:$F,B120),"")</f>
        <v>143</v>
      </c>
      <c r="H120">
        <f>IF(AND(ISNUMBER(C120),C120&gt;='Bulk Calculator'!U13/('Bulk Calculator'!J13*'Bulk Calculator'!L13)),1,0)</f>
        <v>1</v>
      </c>
      <c r="I120">
        <f>IFERROR(IF(AND(ISNUMBER(E120),ISNUMBER(F120),E120&gt;0,F120&gt;0),SQRT(3)*'Bulk Calculator'!O13*'Bulk Calculator'!AA13*((E120*'Bulk Calculator'!Q13)+(F120*SQRT(1-'Bulk Calculator'!Q13^2)))/'Bulk Calculator'!J13/'Bulk Calculator'!K13*100,D120*'Bulk Calculator'!AA13*'Bulk Calculator'!O13/'Bulk Calculator'!J13/'Bulk Calculator'!K13*100),"")</f>
        <v>2.8626463602882653E-3</v>
      </c>
      <c r="J120">
        <f>IFERROR(IF(AND(ISNUMBER(E120),ISNUMBER(F120),E120&gt;0,F120&gt;0),SQRT(3)*'Bulk Calculator'!O13*'Bulk Calculator'!U13*((E120*'Bulk Calculator'!M13)+(F120*SQRT(1-'Bulk Calculator'!M13^2)))/'Bulk Calculator'!J13/'Bulk Calculator'!K13*100,D120*'Bulk Calculator'!U13*'Bulk Calculator'!O13/'Bulk Calculator'!J13/'Bulk Calculator'!K13*100),"")</f>
        <v>4.253906249999999E-3</v>
      </c>
      <c r="K120">
        <f>IFERROR(G120*B120*'Bulk Calculator'!J13/SQRT('Bulk Calculator'!S13)/1000,"")</f>
        <v>7.9939430195617485</v>
      </c>
      <c r="L120">
        <f>IF(OR('Bulk Calculator'!R13="",'Bulk Calculator'!S13="",G120=""),0,IF(K120&gt;='Bulk Calculator'!R13,1,0))</f>
        <v>1</v>
      </c>
      <c r="M120">
        <f>IF(AND(H120=1,I120&lt;='OS-DORAEN'!$B$6,J120&lt;='OS-DORAEN'!$B$5,L120=1),1,0)</f>
        <v>1</v>
      </c>
      <c r="N120" t="str">
        <f t="shared" si="1"/>
        <v>R/X</v>
      </c>
    </row>
    <row r="121" spans="1:14" ht="15" customHeight="1" x14ac:dyDescent="0.35">
      <c r="A121">
        <v>13</v>
      </c>
      <c r="B121">
        <v>16</v>
      </c>
      <c r="C121">
        <f>IFERROR(SUMIFS('Cable Data Master'!$G:$G,'Cable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Master'!$F:$F,B121),"")</f>
        <v>0</v>
      </c>
      <c r="D121">
        <f>IFERROR(SUMIFS('Cable Data Master'!$K:$K,'Cable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Master'!$F:$F,B121),"")</f>
        <v>0</v>
      </c>
      <c r="E121">
        <f>IFERROR(SUMIFS('Cable Data Master'!$H:$H,'Cable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Master'!$F:$F,B121),"")</f>
        <v>0</v>
      </c>
      <c r="F121">
        <f>IFERROR(SUMIFS('Cable Data Master'!$I:$I,'Cable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Master'!$F:$F,B121),"")</f>
        <v>0</v>
      </c>
      <c r="G121">
        <f>IFERROR(SUMIFS('Cable Data Master'!$J:$J,'Cable Data Master'!$A:$A,'Bulk Calculator'!$BF13,'Cable Data Master'!$B:$B,'Bulk Calculator'!$BG13,'Cable Data Master'!$C:$C,'Bulk Calculator'!$BH13,'Cable Data Master'!$D:$D,'Bulk Calculator'!$BI13,'Cable Data Master'!$E:$E,'Bulk Calculator'!$BJ13,'Cable Data Master'!$F:$F,B121),"")</f>
        <v>0</v>
      </c>
      <c r="H121">
        <f>IF(AND(ISNUMBER(C121),C121&gt;='Bulk Calculator'!U13/('Bulk Calculator'!J13*'Bulk Calculator'!L13)),1,0)</f>
        <v>0</v>
      </c>
      <c r="I121">
        <f>IFERROR(IF(AND(ISNUMBER(E121),ISNUMBER(F121),E121&gt;0,F121&gt;0),SQRT(3)*'Bulk Calculator'!O13*'Bulk Calculator'!AA13*((E121*'Bulk Calculator'!Q13)+(F121*SQRT(1-'Bulk Calculator'!Q13^2)))/'Bulk Calculator'!J13/'Bulk Calculator'!K13*100,D121*'Bulk Calculator'!AA13*'Bulk Calculator'!O13/'Bulk Calculator'!J13/'Bulk Calculator'!K13*100),"")</f>
        <v>0</v>
      </c>
      <c r="J121">
        <f>IFERROR(IF(AND(ISNUMBER(E121),ISNUMBER(F121),E121&gt;0,F121&gt;0),SQRT(3)*'Bulk Calculator'!O13*'Bulk Calculator'!U13*((E121*'Bulk Calculator'!M13)+(F121*SQRT(1-'Bulk Calculator'!M13^2)))/'Bulk Calculator'!J13/'Bulk Calculator'!K13*100,D121*'Bulk Calculator'!U13*'Bulk Calculator'!O13/'Bulk Calculator'!J13/'Bulk Calculator'!K13*100),"")</f>
        <v>0</v>
      </c>
      <c r="K121">
        <f>IFERROR(G121*B121*'Bulk Calculator'!J13/SQRT('Bulk Calculator'!S13)/1000,"")</f>
        <v>0</v>
      </c>
      <c r="L121">
        <f>IF(OR('Bulk Calculator'!R13="",'Bulk Calculator'!S13="",G121=""),0,IF(K121&gt;='Bulk Calculator'!R13,1,0))</f>
        <v>0</v>
      </c>
      <c r="M121">
        <f>IF(AND(H121=1,I121&lt;='OS-DORAEN'!$B$6,J121&lt;='OS-DORAEN'!$B$5,L121=1),1,0)</f>
        <v>0</v>
      </c>
      <c r="N121" t="str">
        <f t="shared" si="1"/>
        <v>Manufacturer VD Ref</v>
      </c>
    </row>
    <row r="122" spans="1:14" ht="15" customHeight="1" x14ac:dyDescent="0.35">
      <c r="A122">
        <v>14</v>
      </c>
      <c r="B122">
        <v>400</v>
      </c>
      <c r="C122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Master'!$F:$F,B122),"")</f>
        <v>662.5</v>
      </c>
      <c r="D122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Master'!$F:$F,B122),"")</f>
        <v>8.2000000000000003E-2</v>
      </c>
      <c r="E122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Master'!$F:$F,B122),"")</f>
        <v>6.0199999999999997E-2</v>
      </c>
      <c r="F122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Master'!$F:$F,B122),"")</f>
        <v>7.0000000000000007E-2</v>
      </c>
      <c r="G122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Master'!$F:$F,B122),"")</f>
        <v>143</v>
      </c>
      <c r="H122">
        <f>IF(AND(ISNUMBER(C122),C122&gt;='Bulk Calculator'!U14/('Bulk Calculator'!J14*'Bulk Calculator'!L14)),1,0)</f>
        <v>1</v>
      </c>
      <c r="I122">
        <f>IFERROR(IF(AND(ISNUMBER(E122),ISNUMBER(F122),E122&gt;0,F122&gt;0),SQRT(3)*'Bulk Calculator'!O14*'Bulk Calculator'!AA14*((E122*'Bulk Calculator'!Q14)+(F122*SQRT(1-'Bulk Calculator'!Q14^2)))/'Bulk Calculator'!J14/'Bulk Calculator'!K14*100,D122*'Bulk Calculator'!AA14*'Bulk Calculator'!O14/'Bulk Calculator'!J14/'Bulk Calculator'!K14*100),"")</f>
        <v>1.2150952930873025E-4</v>
      </c>
      <c r="J122">
        <f>IFERROR(IF(AND(ISNUMBER(E122),ISNUMBER(F122),E122&gt;0,F122&gt;0),SQRT(3)*'Bulk Calculator'!O14*'Bulk Calculator'!U14*((E122*'Bulk Calculator'!M14)+(F122*SQRT(1-'Bulk Calculator'!M14^2)))/'Bulk Calculator'!J14/'Bulk Calculator'!K14*100,D122*'Bulk Calculator'!U14*'Bulk Calculator'!O14/'Bulk Calculator'!J14/'Bulk Calculator'!K14*100),"")</f>
        <v>8.6090277777777746E-5</v>
      </c>
      <c r="K122">
        <f>IFERROR(G122*B122*'Bulk Calculator'!J14/SQRT('Bulk Calculator'!S14)/1000,"")</f>
        <v>127.90308831298798</v>
      </c>
      <c r="L122">
        <f>IF(OR('Bulk Calculator'!R14="",'Bulk Calculator'!S14="",G122=""),0,IF(K122&gt;='Bulk Calculator'!R14,1,0))</f>
        <v>1</v>
      </c>
      <c r="M122">
        <f>IF(AND(H122=1,I122&lt;='OS-DORAEN'!$B$6,J122&lt;='OS-DORAEN'!$B$5,L122=1),1,0)</f>
        <v>1</v>
      </c>
      <c r="N122" t="str">
        <f t="shared" si="1"/>
        <v>R/X</v>
      </c>
    </row>
    <row r="123" spans="1:14" ht="15" customHeight="1" x14ac:dyDescent="0.35">
      <c r="A123">
        <v>14</v>
      </c>
      <c r="B123">
        <v>300</v>
      </c>
      <c r="C123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Master'!$F:$F,B123),"")</f>
        <v>568.79999999999995</v>
      </c>
      <c r="D123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Master'!$F:$F,B123),"")</f>
        <v>0.104</v>
      </c>
      <c r="E123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Master'!$F:$F,B123),"")</f>
        <v>7.6899999999999996E-2</v>
      </c>
      <c r="F123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Master'!$F:$F,B123),"")</f>
        <v>7.0999999999999994E-2</v>
      </c>
      <c r="G123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Master'!$F:$F,B123),"")</f>
        <v>143</v>
      </c>
      <c r="H123">
        <f>IF(AND(ISNUMBER(C123),C123&gt;='Bulk Calculator'!U14/('Bulk Calculator'!J14*'Bulk Calculator'!L14)),1,0)</f>
        <v>1</v>
      </c>
      <c r="I123">
        <f>IFERROR(IF(AND(ISNUMBER(E123),ISNUMBER(F123),E123&gt;0,F123&gt;0),SQRT(3)*'Bulk Calculator'!O14*'Bulk Calculator'!AA14*((E123*'Bulk Calculator'!Q14)+(F123*SQRT(1-'Bulk Calculator'!Q14^2)))/'Bulk Calculator'!J14/'Bulk Calculator'!K14*100,D123*'Bulk Calculator'!AA14*'Bulk Calculator'!O14/'Bulk Calculator'!J14/'Bulk Calculator'!K14*100),"")</f>
        <v>1.3005162972742635E-4</v>
      </c>
      <c r="J123">
        <f>IFERROR(IF(AND(ISNUMBER(E123),ISNUMBER(F123),E123&gt;0,F123&gt;0),SQRT(3)*'Bulk Calculator'!O14*'Bulk Calculator'!U14*((E123*'Bulk Calculator'!M14)+(F123*SQRT(1-'Bulk Calculator'!M14^2)))/'Bulk Calculator'!J14/'Bulk Calculator'!K14*100,D123*'Bulk Calculator'!U14*'Bulk Calculator'!O14/'Bulk Calculator'!J14/'Bulk Calculator'!K14*100),"")</f>
        <v>9.9420138888888854E-5</v>
      </c>
      <c r="K123">
        <f>IFERROR(G123*B123*'Bulk Calculator'!J14/SQRT('Bulk Calculator'!S14)/1000,"")</f>
        <v>95.927316234740985</v>
      </c>
      <c r="L123">
        <f>IF(OR('Bulk Calculator'!R14="",'Bulk Calculator'!S14="",G123=""),0,IF(K123&gt;='Bulk Calculator'!R14,1,0))</f>
        <v>1</v>
      </c>
      <c r="M123">
        <f>IF(AND(H123=1,I123&lt;='OS-DORAEN'!$B$6,J123&lt;='OS-DORAEN'!$B$5,L123=1),1,0)</f>
        <v>1</v>
      </c>
      <c r="N123" t="str">
        <f t="shared" si="1"/>
        <v>R/X</v>
      </c>
    </row>
    <row r="124" spans="1:14" ht="15" customHeight="1" x14ac:dyDescent="0.35">
      <c r="A124">
        <v>14</v>
      </c>
      <c r="B124">
        <v>240</v>
      </c>
      <c r="C124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Master'!$F:$F,B124),"")</f>
        <v>498.8</v>
      </c>
      <c r="D124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Master'!$F:$F,B124),"")</f>
        <v>0.13</v>
      </c>
      <c r="E124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Master'!$F:$F,B124),"")</f>
        <v>9.6500000000000002E-2</v>
      </c>
      <c r="F124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Master'!$F:$F,B124),"")</f>
        <v>7.1999999999999995E-2</v>
      </c>
      <c r="G124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Master'!$F:$F,B124),"")</f>
        <v>143</v>
      </c>
      <c r="H124">
        <f>IF(AND(ISNUMBER(C124),C124&gt;='Bulk Calculator'!U14/('Bulk Calculator'!J14*'Bulk Calculator'!L14)),1,0)</f>
        <v>1</v>
      </c>
      <c r="I124">
        <f>IFERROR(IF(AND(ISNUMBER(E124),ISNUMBER(F124),E124&gt;0,F124&gt;0),SQRT(3)*'Bulk Calculator'!O14*'Bulk Calculator'!AA14*((E124*'Bulk Calculator'!Q14)+(F124*SQRT(1-'Bulk Calculator'!Q14^2)))/'Bulk Calculator'!J14/'Bulk Calculator'!K14*100,D124*'Bulk Calculator'!AA14*'Bulk Calculator'!O14/'Bulk Calculator'!J14/'Bulk Calculator'!K14*100),"")</f>
        <v>1.398398238961225E-4</v>
      </c>
      <c r="J124">
        <f>IFERROR(IF(AND(ISNUMBER(E124),ISNUMBER(F124),E124&gt;0,F124&gt;0),SQRT(3)*'Bulk Calculator'!O14*'Bulk Calculator'!U14*((E124*'Bulk Calculator'!M14)+(F124*SQRT(1-'Bulk Calculator'!M14^2)))/'Bulk Calculator'!J14/'Bulk Calculator'!K14*100,D124*'Bulk Calculator'!U14*'Bulk Calculator'!O14/'Bulk Calculator'!J14/'Bulk Calculator'!K14*100),"")</f>
        <v>1.1496527777777776E-4</v>
      </c>
      <c r="K124">
        <f>IFERROR(G124*B124*'Bulk Calculator'!J14/SQRT('Bulk Calculator'!S14)/1000,"")</f>
        <v>76.741852987792782</v>
      </c>
      <c r="L124">
        <f>IF(OR('Bulk Calculator'!R14="",'Bulk Calculator'!S14="",G124=""),0,IF(K124&gt;='Bulk Calculator'!R14,1,0))</f>
        <v>1</v>
      </c>
      <c r="M124">
        <f>IF(AND(H124=1,I124&lt;='OS-DORAEN'!$B$6,J124&lt;='OS-DORAEN'!$B$5,L124=1),1,0)</f>
        <v>1</v>
      </c>
      <c r="N124" t="str">
        <f t="shared" si="1"/>
        <v>R/X</v>
      </c>
    </row>
    <row r="125" spans="1:14" ht="15" customHeight="1" x14ac:dyDescent="0.35">
      <c r="A125">
        <v>14</v>
      </c>
      <c r="B125">
        <v>185</v>
      </c>
      <c r="C125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Master'!$F:$F,B125),"")</f>
        <v>421.2</v>
      </c>
      <c r="D125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Master'!$F:$F,B125),"")</f>
        <v>0.16900000000000001</v>
      </c>
      <c r="E125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Master'!$F:$F,B125),"")</f>
        <v>0.127</v>
      </c>
      <c r="F125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Master'!$F:$F,B125),"")</f>
        <v>7.1999999999999995E-2</v>
      </c>
      <c r="G125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Master'!$F:$F,B125),"")</f>
        <v>143</v>
      </c>
      <c r="H125">
        <f>IF(AND(ISNUMBER(C125),C125&gt;='Bulk Calculator'!U14/('Bulk Calculator'!J14*'Bulk Calculator'!L14)),1,0)</f>
        <v>1</v>
      </c>
      <c r="I125">
        <f>IFERROR(IF(AND(ISNUMBER(E125),ISNUMBER(F125),E125&gt;0,F125&gt;0),SQRT(3)*'Bulk Calculator'!O14*'Bulk Calculator'!AA14*((E125*'Bulk Calculator'!Q14)+(F125*SQRT(1-'Bulk Calculator'!Q14^2)))/'Bulk Calculator'!J14/'Bulk Calculator'!K14*100,D125*'Bulk Calculator'!AA14*'Bulk Calculator'!O14/'Bulk Calculator'!J14/'Bulk Calculator'!K14*100),"")</f>
        <v>1.5294529264612251E-4</v>
      </c>
      <c r="J125">
        <f>IFERROR(IF(AND(ISNUMBER(E125),ISNUMBER(F125),E125&gt;0,F125&gt;0),SQRT(3)*'Bulk Calculator'!O14*'Bulk Calculator'!U14*((E125*'Bulk Calculator'!M14)+(F125*SQRT(1-'Bulk Calculator'!M14^2)))/'Bulk Calculator'!J14/'Bulk Calculator'!K14*100,D125*'Bulk Calculator'!U14*'Bulk Calculator'!O14/'Bulk Calculator'!J14/'Bulk Calculator'!K14*100),"")</f>
        <v>1.3826388888888883E-4</v>
      </c>
      <c r="K125">
        <f>IFERROR(G125*B125*'Bulk Calculator'!J14/SQRT('Bulk Calculator'!S14)/1000,"")</f>
        <v>59.155178344756941</v>
      </c>
      <c r="L125">
        <f>IF(OR('Bulk Calculator'!R14="",'Bulk Calculator'!S14="",G125=""),0,IF(K125&gt;='Bulk Calculator'!R14,1,0))</f>
        <v>1</v>
      </c>
      <c r="M125">
        <f>IF(AND(H125=1,I125&lt;='OS-DORAEN'!$B$6,J125&lt;='OS-DORAEN'!$B$5,L125=1),1,0)</f>
        <v>1</v>
      </c>
      <c r="N125" t="str">
        <f t="shared" si="1"/>
        <v>R/X</v>
      </c>
    </row>
    <row r="126" spans="1:14" ht="15" customHeight="1" x14ac:dyDescent="0.35">
      <c r="A126">
        <v>14</v>
      </c>
      <c r="B126">
        <v>150</v>
      </c>
      <c r="C126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Master'!$F:$F,B126),"")</f>
        <v>365</v>
      </c>
      <c r="D126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Master'!$F:$F,B126),"")</f>
        <v>0.21199999999999999</v>
      </c>
      <c r="E126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Master'!$F:$F,B126),"")</f>
        <v>0.159</v>
      </c>
      <c r="F126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Master'!$F:$F,B126),"")</f>
        <v>7.1999999999999995E-2</v>
      </c>
      <c r="G126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Master'!$F:$F,B126),"")</f>
        <v>143</v>
      </c>
      <c r="H126">
        <f>IF(AND(ISNUMBER(C126),C126&gt;='Bulk Calculator'!U14/('Bulk Calculator'!J14*'Bulk Calculator'!L14)),1,0)</f>
        <v>1</v>
      </c>
      <c r="I126">
        <f>IFERROR(IF(AND(ISNUMBER(E126),ISNUMBER(F126),E126&gt;0,F126&gt;0),SQRT(3)*'Bulk Calculator'!O14*'Bulk Calculator'!AA14*((E126*'Bulk Calculator'!Q14)+(F126*SQRT(1-'Bulk Calculator'!Q14^2)))/'Bulk Calculator'!J14/'Bulk Calculator'!K14*100,D126*'Bulk Calculator'!AA14*'Bulk Calculator'!O14/'Bulk Calculator'!J14/'Bulk Calculator'!K14*100),"")</f>
        <v>1.6669529264612249E-4</v>
      </c>
      <c r="J126">
        <f>IFERROR(IF(AND(ISNUMBER(E126),ISNUMBER(F126),E126&gt;0,F126&gt;0),SQRT(3)*'Bulk Calculator'!O14*'Bulk Calculator'!U14*((E126*'Bulk Calculator'!M14)+(F126*SQRT(1-'Bulk Calculator'!M14^2)))/'Bulk Calculator'!J14/'Bulk Calculator'!K14*100,D126*'Bulk Calculator'!U14*'Bulk Calculator'!O14/'Bulk Calculator'!J14/'Bulk Calculator'!K14*100),"")</f>
        <v>1.6270833333333328E-4</v>
      </c>
      <c r="K126">
        <f>IFERROR(G126*B126*'Bulk Calculator'!J14/SQRT('Bulk Calculator'!S14)/1000,"")</f>
        <v>47.963658117370493</v>
      </c>
      <c r="L126">
        <f>IF(OR('Bulk Calculator'!R14="",'Bulk Calculator'!S14="",G126=""),0,IF(K126&gt;='Bulk Calculator'!R14,1,0))</f>
        <v>1</v>
      </c>
      <c r="M126">
        <f>IF(AND(H126=1,I126&lt;='OS-DORAEN'!$B$6,J126&lt;='OS-DORAEN'!$B$5,L126=1),1,0)</f>
        <v>1</v>
      </c>
      <c r="N126" t="str">
        <f t="shared" si="1"/>
        <v>R/X</v>
      </c>
    </row>
    <row r="127" spans="1:14" ht="15" customHeight="1" x14ac:dyDescent="0.35">
      <c r="A127">
        <v>14</v>
      </c>
      <c r="B127">
        <v>120</v>
      </c>
      <c r="C127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Master'!$F:$F,B127),"")</f>
        <v>321.2</v>
      </c>
      <c r="D127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Master'!$F:$F,B127),"")</f>
        <v>0.26</v>
      </c>
      <c r="E127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Master'!$F:$F,B127),"")</f>
        <v>0.19600000000000001</v>
      </c>
      <c r="F127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Master'!$F:$F,B127),"")</f>
        <v>7.1999999999999995E-2</v>
      </c>
      <c r="G127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Master'!$F:$F,B127),"")</f>
        <v>143</v>
      </c>
      <c r="H127">
        <f>IF(AND(ISNUMBER(C127),C127&gt;='Bulk Calculator'!U14/('Bulk Calculator'!J14*'Bulk Calculator'!L14)),1,0)</f>
        <v>1</v>
      </c>
      <c r="I127">
        <f>IFERROR(IF(AND(ISNUMBER(E127),ISNUMBER(F127),E127&gt;0,F127&gt;0),SQRT(3)*'Bulk Calculator'!O14*'Bulk Calculator'!AA14*((E127*'Bulk Calculator'!Q14)+(F127*SQRT(1-'Bulk Calculator'!Q14^2)))/'Bulk Calculator'!J14/'Bulk Calculator'!K14*100,D127*'Bulk Calculator'!AA14*'Bulk Calculator'!O14/'Bulk Calculator'!J14/'Bulk Calculator'!K14*100),"")</f>
        <v>1.8259373014612251E-4</v>
      </c>
      <c r="J127">
        <f>IFERROR(IF(AND(ISNUMBER(E127),ISNUMBER(F127),E127&gt;0,F127&gt;0),SQRT(3)*'Bulk Calculator'!O14*'Bulk Calculator'!U14*((E127*'Bulk Calculator'!M14)+(F127*SQRT(1-'Bulk Calculator'!M14^2)))/'Bulk Calculator'!J14/'Bulk Calculator'!K14*100,D127*'Bulk Calculator'!U14*'Bulk Calculator'!O14/'Bulk Calculator'!J14/'Bulk Calculator'!K14*100),"")</f>
        <v>1.9097222222222218E-4</v>
      </c>
      <c r="K127">
        <f>IFERROR(G127*B127*'Bulk Calculator'!J14/SQRT('Bulk Calculator'!S14)/1000,"")</f>
        <v>38.370926493896391</v>
      </c>
      <c r="L127">
        <f>IF(OR('Bulk Calculator'!R14="",'Bulk Calculator'!S14="",G127=""),0,IF(K127&gt;='Bulk Calculator'!R14,1,0))</f>
        <v>1</v>
      </c>
      <c r="M127">
        <f>IF(AND(H127=1,I127&lt;='OS-DORAEN'!$B$6,J127&lt;='OS-DORAEN'!$B$5,L127=1),1,0)</f>
        <v>1</v>
      </c>
      <c r="N127" t="str">
        <f t="shared" si="1"/>
        <v>R/X</v>
      </c>
    </row>
    <row r="128" spans="1:14" ht="15" customHeight="1" x14ac:dyDescent="0.35">
      <c r="A128">
        <v>14</v>
      </c>
      <c r="B128">
        <v>95</v>
      </c>
      <c r="C128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Master'!$F:$F,B128),"")</f>
        <v>276.2</v>
      </c>
      <c r="D128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Master'!$F:$F,B128),"")</f>
        <v>0.32800000000000001</v>
      </c>
      <c r="E128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Master'!$F:$F,B128),"")</f>
        <v>0.247</v>
      </c>
      <c r="F128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Master'!$F:$F,B128),"")</f>
        <v>7.3999999999999996E-2</v>
      </c>
      <c r="G128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Master'!$F:$F,B128),"")</f>
        <v>143</v>
      </c>
      <c r="H128">
        <f>IF(AND(ISNUMBER(C128),C128&gt;='Bulk Calculator'!U14/('Bulk Calculator'!J14*'Bulk Calculator'!L14)),1,0)</f>
        <v>1</v>
      </c>
      <c r="I128">
        <f>IFERROR(IF(AND(ISNUMBER(E128),ISNUMBER(F128),E128&gt;0,F128&gt;0),SQRT(3)*'Bulk Calculator'!O14*'Bulk Calculator'!AA14*((E128*'Bulk Calculator'!Q14)+(F128*SQRT(1-'Bulk Calculator'!Q14^2)))/'Bulk Calculator'!J14/'Bulk Calculator'!K14*100,D128*'Bulk Calculator'!AA14*'Bulk Calculator'!O14/'Bulk Calculator'!J14/'Bulk Calculator'!K14*100),"")</f>
        <v>2.072404309835148E-4</v>
      </c>
      <c r="J128">
        <f>IFERROR(IF(AND(ISNUMBER(E128),ISNUMBER(F128),E128&gt;0,F128&gt;0),SQRT(3)*'Bulk Calculator'!O14*'Bulk Calculator'!U14*((E128*'Bulk Calculator'!M14)+(F128*SQRT(1-'Bulk Calculator'!M14^2)))/'Bulk Calculator'!J14/'Bulk Calculator'!K14*100,D128*'Bulk Calculator'!U14*'Bulk Calculator'!O14/'Bulk Calculator'!J14/'Bulk Calculator'!K14*100),"")</f>
        <v>2.3107638888888882E-4</v>
      </c>
      <c r="K128">
        <f>IFERROR(G128*B128*'Bulk Calculator'!J14/SQRT('Bulk Calculator'!S14)/1000,"")</f>
        <v>30.376983474334644</v>
      </c>
      <c r="L128">
        <f>IF(OR('Bulk Calculator'!R14="",'Bulk Calculator'!S14="",G128=""),0,IF(K128&gt;='Bulk Calculator'!R14,1,0))</f>
        <v>1</v>
      </c>
      <c r="M128">
        <f>IF(AND(H128=1,I128&lt;='OS-DORAEN'!$B$6,J128&lt;='OS-DORAEN'!$B$5,L128=1),1,0)</f>
        <v>1</v>
      </c>
      <c r="N128" t="str">
        <f t="shared" si="1"/>
        <v>R/X</v>
      </c>
    </row>
    <row r="129" spans="1:14" ht="15" customHeight="1" x14ac:dyDescent="0.35">
      <c r="A129">
        <v>14</v>
      </c>
      <c r="B129">
        <v>70</v>
      </c>
      <c r="C129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Master'!$F:$F,B129),"")</f>
        <v>223.8</v>
      </c>
      <c r="D129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Master'!$F:$F,B129),"")</f>
        <v>0.45400000000000001</v>
      </c>
      <c r="E129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Master'!$F:$F,B129),"")</f>
        <v>0.34300000000000003</v>
      </c>
      <c r="F129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Master'!$F:$F,B129),"")</f>
        <v>7.6999999999999999E-2</v>
      </c>
      <c r="G129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Master'!$F:$F,B129),"")</f>
        <v>143</v>
      </c>
      <c r="H129">
        <f>IF(AND(ISNUMBER(C129),C129&gt;='Bulk Calculator'!U14/('Bulk Calculator'!J14*'Bulk Calculator'!L14)),1,0)</f>
        <v>1</v>
      </c>
      <c r="I129">
        <f>IFERROR(IF(AND(ISNUMBER(E129),ISNUMBER(F129),E129&gt;0,F129&gt;0),SQRT(3)*'Bulk Calculator'!O14*'Bulk Calculator'!AA14*((E129*'Bulk Calculator'!Q14)+(F129*SQRT(1-'Bulk Calculator'!Q14^2)))/'Bulk Calculator'!J14/'Bulk Calculator'!K14*100,D129*'Bulk Calculator'!AA14*'Bulk Calculator'!O14/'Bulk Calculator'!J14/'Bulk Calculator'!K14*100),"")</f>
        <v>2.5258938848960323E-4</v>
      </c>
      <c r="J129">
        <f>IFERROR(IF(AND(ISNUMBER(E129),ISNUMBER(F129),E129&gt;0,F129&gt;0),SQRT(3)*'Bulk Calculator'!O14*'Bulk Calculator'!U14*((E129*'Bulk Calculator'!M14)+(F129*SQRT(1-'Bulk Calculator'!M14^2)))/'Bulk Calculator'!J14/'Bulk Calculator'!K14*100,D129*'Bulk Calculator'!U14*'Bulk Calculator'!O14/'Bulk Calculator'!J14/'Bulk Calculator'!K14*100),"")</f>
        <v>3.0612847222222212E-4</v>
      </c>
      <c r="K129">
        <f>IFERROR(G129*B129*'Bulk Calculator'!J14/SQRT('Bulk Calculator'!S14)/1000,"")</f>
        <v>22.383040454772893</v>
      </c>
      <c r="L129">
        <f>IF(OR('Bulk Calculator'!R14="",'Bulk Calculator'!S14="",G129=""),0,IF(K129&gt;='Bulk Calculator'!R14,1,0))</f>
        <v>1</v>
      </c>
      <c r="M129">
        <f>IF(AND(H129=1,I129&lt;='OS-DORAEN'!$B$6,J129&lt;='OS-DORAEN'!$B$5,L129=1),1,0)</f>
        <v>1</v>
      </c>
      <c r="N129" t="str">
        <f t="shared" si="1"/>
        <v>R/X</v>
      </c>
    </row>
    <row r="130" spans="1:14" ht="15" customHeight="1" x14ac:dyDescent="0.35">
      <c r="A130">
        <v>14</v>
      </c>
      <c r="B130">
        <v>50</v>
      </c>
      <c r="C130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Master'!$F:$F,B130),"")</f>
        <v>177.5</v>
      </c>
      <c r="D130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Master'!$F:$F,B130),"")</f>
        <v>0.65600000000000003</v>
      </c>
      <c r="E130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Master'!$F:$F,B130),"")</f>
        <v>0.495</v>
      </c>
      <c r="F130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Master'!$F:$F,B130),"")</f>
        <v>7.8E-2</v>
      </c>
      <c r="G130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Master'!$F:$F,B130),"")</f>
        <v>143</v>
      </c>
      <c r="H130">
        <f>IF(AND(ISNUMBER(C130),C130&gt;='Bulk Calculator'!U14/('Bulk Calculator'!J14*'Bulk Calculator'!L14)),1,0)</f>
        <v>1</v>
      </c>
      <c r="I130">
        <f>IFERROR(IF(AND(ISNUMBER(E130),ISNUMBER(F130),E130&gt;0,F130&gt;0),SQRT(3)*'Bulk Calculator'!O14*'Bulk Calculator'!AA14*((E130*'Bulk Calculator'!Q14)+(F130*SQRT(1-'Bulk Calculator'!Q14^2)))/'Bulk Calculator'!J14/'Bulk Calculator'!K14*100,D130*'Bulk Calculator'!AA14*'Bulk Calculator'!O14/'Bulk Calculator'!J14/'Bulk Calculator'!K14*100),"")</f>
        <v>3.1926820765829935E-4</v>
      </c>
      <c r="J130">
        <f>IFERROR(IF(AND(ISNUMBER(E130),ISNUMBER(F130),E130&gt;0,F130&gt;0),SQRT(3)*'Bulk Calculator'!O14*'Bulk Calculator'!U14*((E130*'Bulk Calculator'!M14)+(F130*SQRT(1-'Bulk Calculator'!M14^2)))/'Bulk Calculator'!J14/'Bulk Calculator'!K14*100,D130*'Bulk Calculator'!U14*'Bulk Calculator'!O14/'Bulk Calculator'!J14/'Bulk Calculator'!K14*100),"")</f>
        <v>4.2281249999999996E-4</v>
      </c>
      <c r="K130">
        <f>IFERROR(G130*B130*'Bulk Calculator'!J14/SQRT('Bulk Calculator'!S14)/1000,"")</f>
        <v>15.987886039123497</v>
      </c>
      <c r="L130">
        <f>IF(OR('Bulk Calculator'!R14="",'Bulk Calculator'!S14="",G130=""),0,IF(K130&gt;='Bulk Calculator'!R14,1,0))</f>
        <v>1</v>
      </c>
      <c r="M130">
        <f>IF(AND(H130=1,I130&lt;='OS-DORAEN'!$B$6,J130&lt;='OS-DORAEN'!$B$5,L130=1),1,0)</f>
        <v>1</v>
      </c>
      <c r="N130" t="str">
        <f t="shared" ref="N130:N193" si="2">IF(AND(ISNUMBER(E130),ISNUMBER(F130),E130&gt;0,F130&gt;0),"R/X","Manufacturer VD Ref")</f>
        <v>R/X</v>
      </c>
    </row>
    <row r="131" spans="1:14" ht="15" customHeight="1" x14ac:dyDescent="0.35">
      <c r="A131">
        <v>14</v>
      </c>
      <c r="B131">
        <v>35</v>
      </c>
      <c r="C131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Master'!$F:$F,B131),"")</f>
        <v>146.19999999999999</v>
      </c>
      <c r="D131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Master'!$F:$F,B131),"")</f>
        <v>0.88800000000000001</v>
      </c>
      <c r="E131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Master'!$F:$F,B131),"")</f>
        <v>0.67100000000000004</v>
      </c>
      <c r="F131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Master'!$F:$F,B131),"")</f>
        <v>0.08</v>
      </c>
      <c r="G131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Master'!$F:$F,B131),"")</f>
        <v>143</v>
      </c>
      <c r="H131">
        <f>IF(AND(ISNUMBER(C131),C131&gt;='Bulk Calculator'!U14/('Bulk Calculator'!J14*'Bulk Calculator'!L14)),1,0)</f>
        <v>1</v>
      </c>
      <c r="I131">
        <f>IFERROR(IF(AND(ISNUMBER(E131),ISNUMBER(F131),E131&gt;0,F131&gt;0),SQRT(3)*'Bulk Calculator'!O14*'Bulk Calculator'!AA14*((E131*'Bulk Calculator'!Q14)+(F131*SQRT(1-'Bulk Calculator'!Q14^2)))/'Bulk Calculator'!J14/'Bulk Calculator'!K14*100,D131*'Bulk Calculator'!AA14*'Bulk Calculator'!O14/'Bulk Calculator'!J14/'Bulk Calculator'!K14*100),"")</f>
        <v>3.9762584599569166E-4</v>
      </c>
      <c r="J131">
        <f>IFERROR(IF(AND(ISNUMBER(E131),ISNUMBER(F131),E131&gt;0,F131&gt;0),SQRT(3)*'Bulk Calculator'!O14*'Bulk Calculator'!U14*((E131*'Bulk Calculator'!M14)+(F131*SQRT(1-'Bulk Calculator'!M14^2)))/'Bulk Calculator'!J14/'Bulk Calculator'!K14*100,D131*'Bulk Calculator'!U14*'Bulk Calculator'!O14/'Bulk Calculator'!J14/'Bulk Calculator'!K14*100),"")</f>
        <v>5.5840277777777767E-4</v>
      </c>
      <c r="K131">
        <f>IFERROR(G131*B131*'Bulk Calculator'!J14/SQRT('Bulk Calculator'!S14)/1000,"")</f>
        <v>11.191520227386446</v>
      </c>
      <c r="L131">
        <f>IF(OR('Bulk Calculator'!R14="",'Bulk Calculator'!S14="",G131=""),0,IF(K131&gt;='Bulk Calculator'!R14,1,0))</f>
        <v>1</v>
      </c>
      <c r="M131">
        <f>IF(AND(H131=1,I131&lt;='OS-DORAEN'!$B$6,J131&lt;='OS-DORAEN'!$B$5,L131=1),1,0)</f>
        <v>1</v>
      </c>
      <c r="N131" t="str">
        <f t="shared" si="2"/>
        <v>R/X</v>
      </c>
    </row>
    <row r="132" spans="1:14" ht="15" customHeight="1" x14ac:dyDescent="0.35">
      <c r="A132">
        <v>14</v>
      </c>
      <c r="B132">
        <v>25</v>
      </c>
      <c r="C132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Master'!$F:$F,B132),"")</f>
        <v>120</v>
      </c>
      <c r="D132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Master'!$F:$F,B132),"")</f>
        <v>1.232</v>
      </c>
      <c r="E132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Master'!$F:$F,B132),"")</f>
        <v>0.93</v>
      </c>
      <c r="F132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Master'!$F:$F,B132),"")</f>
        <v>0.08</v>
      </c>
      <c r="G132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Master'!$F:$F,B132),"")</f>
        <v>143</v>
      </c>
      <c r="H132">
        <f>IF(AND(ISNUMBER(C132),C132&gt;='Bulk Calculator'!U14/('Bulk Calculator'!J14*'Bulk Calculator'!L14)),1,0)</f>
        <v>1</v>
      </c>
      <c r="I132">
        <f>IFERROR(IF(AND(ISNUMBER(E132),ISNUMBER(F132),E132&gt;0,F132&gt;0),SQRT(3)*'Bulk Calculator'!O14*'Bulk Calculator'!AA14*((E132*'Bulk Calculator'!Q14)+(F132*SQRT(1-'Bulk Calculator'!Q14^2)))/'Bulk Calculator'!J14/'Bulk Calculator'!K14*100,D132*'Bulk Calculator'!AA14*'Bulk Calculator'!O14/'Bulk Calculator'!J14/'Bulk Calculator'!K14*100),"")</f>
        <v>5.0891490849569172E-4</v>
      </c>
      <c r="J132">
        <f>IFERROR(IF(AND(ISNUMBER(E132),ISNUMBER(F132),E132&gt;0,F132&gt;0),SQRT(3)*'Bulk Calculator'!O14*'Bulk Calculator'!U14*((E132*'Bulk Calculator'!M14)+(F132*SQRT(1-'Bulk Calculator'!M14^2)))/'Bulk Calculator'!J14/'Bulk Calculator'!K14*100,D132*'Bulk Calculator'!U14*'Bulk Calculator'!O14/'Bulk Calculator'!J14/'Bulk Calculator'!K14*100),"")</f>
        <v>7.5624999999999987E-4</v>
      </c>
      <c r="K132">
        <f>IFERROR(G132*B132*'Bulk Calculator'!J14/SQRT('Bulk Calculator'!S14)/1000,"")</f>
        <v>7.9939430195617485</v>
      </c>
      <c r="L132">
        <f>IF(OR('Bulk Calculator'!R14="",'Bulk Calculator'!S14="",G132=""),0,IF(K132&gt;='Bulk Calculator'!R14,1,0))</f>
        <v>1</v>
      </c>
      <c r="M132">
        <f>IF(AND(H132=1,I132&lt;='OS-DORAEN'!$B$6,J132&lt;='OS-DORAEN'!$B$5,L132=1),1,0)</f>
        <v>1</v>
      </c>
      <c r="N132" t="str">
        <f t="shared" si="2"/>
        <v>R/X</v>
      </c>
    </row>
    <row r="133" spans="1:14" ht="15" customHeight="1" x14ac:dyDescent="0.35">
      <c r="A133">
        <v>14</v>
      </c>
      <c r="B133">
        <v>16</v>
      </c>
      <c r="C133">
        <f>IFERROR(SUMIFS('Cable Data Master'!$G:$G,'Cable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Master'!$F:$F,B133),"")</f>
        <v>0</v>
      </c>
      <c r="D133">
        <f>IFERROR(SUMIFS('Cable Data Master'!$K:$K,'Cable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Master'!$F:$F,B133),"")</f>
        <v>0</v>
      </c>
      <c r="E133">
        <f>IFERROR(SUMIFS('Cable Data Master'!$H:$H,'Cable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Master'!$F:$F,B133),"")</f>
        <v>0</v>
      </c>
      <c r="F133">
        <f>IFERROR(SUMIFS('Cable Data Master'!$I:$I,'Cable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Master'!$F:$F,B133),"")</f>
        <v>0</v>
      </c>
      <c r="G133">
        <f>IFERROR(SUMIFS('Cable Data Master'!$J:$J,'Cable Data Master'!$A:$A,'Bulk Calculator'!$BF14,'Cable Data Master'!$B:$B,'Bulk Calculator'!$BG14,'Cable Data Master'!$C:$C,'Bulk Calculator'!$BH14,'Cable Data Master'!$D:$D,'Bulk Calculator'!$BI14,'Cable Data Master'!$E:$E,'Bulk Calculator'!$BJ14,'Cable Data Master'!$F:$F,B133),"")</f>
        <v>0</v>
      </c>
      <c r="H133">
        <f>IF(AND(ISNUMBER(C133),C133&gt;='Bulk Calculator'!U14/('Bulk Calculator'!J14*'Bulk Calculator'!L14)),1,0)</f>
        <v>0</v>
      </c>
      <c r="I133">
        <f>IFERROR(IF(AND(ISNUMBER(E133),ISNUMBER(F133),E133&gt;0,F133&gt;0),SQRT(3)*'Bulk Calculator'!O14*'Bulk Calculator'!AA14*((E133*'Bulk Calculator'!Q14)+(F133*SQRT(1-'Bulk Calculator'!Q14^2)))/'Bulk Calculator'!J14/'Bulk Calculator'!K14*100,D133*'Bulk Calculator'!AA14*'Bulk Calculator'!O14/'Bulk Calculator'!J14/'Bulk Calculator'!K14*100),"")</f>
        <v>0</v>
      </c>
      <c r="J133">
        <f>IFERROR(IF(AND(ISNUMBER(E133),ISNUMBER(F133),E133&gt;0,F133&gt;0),SQRT(3)*'Bulk Calculator'!O14*'Bulk Calculator'!U14*((E133*'Bulk Calculator'!M14)+(F133*SQRT(1-'Bulk Calculator'!M14^2)))/'Bulk Calculator'!J14/'Bulk Calculator'!K14*100,D133*'Bulk Calculator'!U14*'Bulk Calculator'!O14/'Bulk Calculator'!J14/'Bulk Calculator'!K14*100),"")</f>
        <v>0</v>
      </c>
      <c r="K133">
        <f>IFERROR(G133*B133*'Bulk Calculator'!J14/SQRT('Bulk Calculator'!S14)/1000,"")</f>
        <v>0</v>
      </c>
      <c r="L133">
        <f>IF(OR('Bulk Calculator'!R14="",'Bulk Calculator'!S14="",G133=""),0,IF(K133&gt;='Bulk Calculator'!R14,1,0))</f>
        <v>0</v>
      </c>
      <c r="M133">
        <f>IF(AND(H133=1,I133&lt;='OS-DORAEN'!$B$6,J133&lt;='OS-DORAEN'!$B$5,L133=1),1,0)</f>
        <v>0</v>
      </c>
      <c r="N133" t="str">
        <f t="shared" si="2"/>
        <v>Manufacturer VD Ref</v>
      </c>
    </row>
    <row r="134" spans="1:14" ht="15" customHeight="1" x14ac:dyDescent="0.35">
      <c r="A134">
        <v>15</v>
      </c>
      <c r="B134">
        <v>400</v>
      </c>
      <c r="C134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Master'!$F:$F,B134),"")</f>
        <v>662.5</v>
      </c>
      <c r="D134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Master'!$F:$F,B134),"")</f>
        <v>8.2000000000000003E-2</v>
      </c>
      <c r="E134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Master'!$F:$F,B134),"")</f>
        <v>6.0199999999999997E-2</v>
      </c>
      <c r="F134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Master'!$F:$F,B134),"")</f>
        <v>7.0000000000000007E-2</v>
      </c>
      <c r="G134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Master'!$F:$F,B134),"")</f>
        <v>143</v>
      </c>
      <c r="H134">
        <f>IF(AND(ISNUMBER(C134),C134&gt;='Bulk Calculator'!U15/('Bulk Calculator'!J15*'Bulk Calculator'!L15)),1,0)</f>
        <v>1</v>
      </c>
      <c r="I134">
        <f>IFERROR(IF(AND(ISNUMBER(E134),ISNUMBER(F134),E134&gt;0,F134&gt;0),SQRT(3)*'Bulk Calculator'!O15*'Bulk Calculator'!AA15*((E134*'Bulk Calculator'!Q15)+(F134*SQRT(1-'Bulk Calculator'!Q15^2)))/'Bulk Calculator'!J15/'Bulk Calculator'!K15*100,D134*'Bulk Calculator'!AA15*'Bulk Calculator'!O15/'Bulk Calculator'!J15/'Bulk Calculator'!K15*100),"")</f>
        <v>1.9530635215313658E-4</v>
      </c>
      <c r="J134">
        <f>IFERROR(IF(AND(ISNUMBER(E134),ISNUMBER(F134),E134&gt;0,F134&gt;0),SQRT(3)*'Bulk Calculator'!O15*'Bulk Calculator'!U15*((E134*'Bulk Calculator'!M15)+(F134*SQRT(1-'Bulk Calculator'!M15^2)))/'Bulk Calculator'!J15/'Bulk Calculator'!K15*100,D134*'Bulk Calculator'!U15*'Bulk Calculator'!O15/'Bulk Calculator'!J15/'Bulk Calculator'!K15*100),"")</f>
        <v>1.3837579821338308E-4</v>
      </c>
      <c r="K134">
        <f>IFERROR(G134*B134*'Bulk Calculator'!J15/SQRT('Bulk Calculator'!S15)/1000,"")</f>
        <v>127.90308831298798</v>
      </c>
      <c r="L134">
        <f>IF(OR('Bulk Calculator'!R15="",'Bulk Calculator'!S15="",G134=""),0,IF(K134&gt;='Bulk Calculator'!R15,1,0))</f>
        <v>1</v>
      </c>
      <c r="M134">
        <f>IF(AND(H134=1,I134&lt;='OS-DORAEN'!$B$6,J134&lt;='OS-DORAEN'!$B$5,L134=1),1,0)</f>
        <v>1</v>
      </c>
      <c r="N134" t="str">
        <f t="shared" si="2"/>
        <v>R/X</v>
      </c>
    </row>
    <row r="135" spans="1:14" ht="15" customHeight="1" x14ac:dyDescent="0.35">
      <c r="A135">
        <v>15</v>
      </c>
      <c r="B135">
        <v>300</v>
      </c>
      <c r="C135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Master'!$F:$F,B135),"")</f>
        <v>568.79999999999995</v>
      </c>
      <c r="D135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Master'!$F:$F,B135),"")</f>
        <v>0.104</v>
      </c>
      <c r="E135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Master'!$F:$F,B135),"")</f>
        <v>7.6899999999999996E-2</v>
      </c>
      <c r="F135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Master'!$F:$F,B135),"")</f>
        <v>7.0999999999999994E-2</v>
      </c>
      <c r="G135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Master'!$F:$F,B135),"")</f>
        <v>143</v>
      </c>
      <c r="H135">
        <f>IF(AND(ISNUMBER(C135),C135&gt;='Bulk Calculator'!U15/('Bulk Calculator'!J15*'Bulk Calculator'!L15)),1,0)</f>
        <v>1</v>
      </c>
      <c r="I135">
        <f>IFERROR(IF(AND(ISNUMBER(E135),ISNUMBER(F135),E135&gt;0,F135&gt;0),SQRT(3)*'Bulk Calculator'!O15*'Bulk Calculator'!AA15*((E135*'Bulk Calculator'!Q15)+(F135*SQRT(1-'Bulk Calculator'!Q15^2)))/'Bulk Calculator'!J15/'Bulk Calculator'!K15*100,D135*'Bulk Calculator'!AA15*'Bulk Calculator'!O15/'Bulk Calculator'!J15/'Bulk Calculator'!K15*100),"")</f>
        <v>2.0903635737982504E-4</v>
      </c>
      <c r="J135">
        <f>IFERROR(IF(AND(ISNUMBER(E135),ISNUMBER(F135),E135&gt;0,F135&gt;0),SQRT(3)*'Bulk Calculator'!O15*'Bulk Calculator'!U15*((E135*'Bulk Calculator'!M15)+(F135*SQRT(1-'Bulk Calculator'!M15^2)))/'Bulk Calculator'!J15/'Bulk Calculator'!K15*100,D135*'Bulk Calculator'!U15*'Bulk Calculator'!O15/'Bulk Calculator'!J15/'Bulk Calculator'!K15*100),"")</f>
        <v>1.5980133218697256E-4</v>
      </c>
      <c r="K135">
        <f>IFERROR(G135*B135*'Bulk Calculator'!J15/SQRT('Bulk Calculator'!S15)/1000,"")</f>
        <v>95.927316234740985</v>
      </c>
      <c r="L135">
        <f>IF(OR('Bulk Calculator'!R15="",'Bulk Calculator'!S15="",G135=""),0,IF(K135&gt;='Bulk Calculator'!R15,1,0))</f>
        <v>1</v>
      </c>
      <c r="M135">
        <f>IF(AND(H135=1,I135&lt;='OS-DORAEN'!$B$6,J135&lt;='OS-DORAEN'!$B$5,L135=1),1,0)</f>
        <v>1</v>
      </c>
      <c r="N135" t="str">
        <f t="shared" si="2"/>
        <v>R/X</v>
      </c>
    </row>
    <row r="136" spans="1:14" ht="15" customHeight="1" x14ac:dyDescent="0.35">
      <c r="A136">
        <v>15</v>
      </c>
      <c r="B136">
        <v>240</v>
      </c>
      <c r="C136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Master'!$F:$F,B136),"")</f>
        <v>498.8</v>
      </c>
      <c r="D136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Master'!$F:$F,B136),"")</f>
        <v>0.13</v>
      </c>
      <c r="E136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Master'!$F:$F,B136),"")</f>
        <v>9.6500000000000002E-2</v>
      </c>
      <c r="F136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Master'!$F:$F,B136),"")</f>
        <v>7.1999999999999995E-2</v>
      </c>
      <c r="G136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Master'!$F:$F,B136),"")</f>
        <v>143</v>
      </c>
      <c r="H136">
        <f>IF(AND(ISNUMBER(C136),C136&gt;='Bulk Calculator'!U15/('Bulk Calculator'!J15*'Bulk Calculator'!L15)),1,0)</f>
        <v>1</v>
      </c>
      <c r="I136">
        <f>IFERROR(IF(AND(ISNUMBER(E136),ISNUMBER(F136),E136&gt;0,F136&gt;0),SQRT(3)*'Bulk Calculator'!O15*'Bulk Calculator'!AA15*((E136*'Bulk Calculator'!Q15)+(F136*SQRT(1-'Bulk Calculator'!Q15^2)))/'Bulk Calculator'!J15/'Bulk Calculator'!K15*100,D136*'Bulk Calculator'!AA15*'Bulk Calculator'!O15/'Bulk Calculator'!J15/'Bulk Calculator'!K15*100),"")</f>
        <v>2.2476925099014782E-4</v>
      </c>
      <c r="J136">
        <f>IFERROR(IF(AND(ISNUMBER(E136),ISNUMBER(F136),E136&gt;0,F136&gt;0),SQRT(3)*'Bulk Calculator'!O15*'Bulk Calculator'!U15*((E136*'Bulk Calculator'!M15)+(F136*SQRT(1-'Bulk Calculator'!M15^2)))/'Bulk Calculator'!J15/'Bulk Calculator'!K15*100,D136*'Bulk Calculator'!U15*'Bulk Calculator'!O15/'Bulk Calculator'!J15/'Bulk Calculator'!K15*100),"")</f>
        <v>1.8478755662035631E-4</v>
      </c>
      <c r="K136">
        <f>IFERROR(G136*B136*'Bulk Calculator'!J15/SQRT('Bulk Calculator'!S15)/1000,"")</f>
        <v>76.741852987792782</v>
      </c>
      <c r="L136">
        <f>IF(OR('Bulk Calculator'!R15="",'Bulk Calculator'!S15="",G136=""),0,IF(K136&gt;='Bulk Calculator'!R15,1,0))</f>
        <v>1</v>
      </c>
      <c r="M136">
        <f>IF(AND(H136=1,I136&lt;='OS-DORAEN'!$B$6,J136&lt;='OS-DORAEN'!$B$5,L136=1),1,0)</f>
        <v>1</v>
      </c>
      <c r="N136" t="str">
        <f t="shared" si="2"/>
        <v>R/X</v>
      </c>
    </row>
    <row r="137" spans="1:14" ht="15" customHeight="1" x14ac:dyDescent="0.35">
      <c r="A137">
        <v>15</v>
      </c>
      <c r="B137">
        <v>185</v>
      </c>
      <c r="C137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Master'!$F:$F,B137),"")</f>
        <v>421.2</v>
      </c>
      <c r="D137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Master'!$F:$F,B137),"")</f>
        <v>0.16900000000000001</v>
      </c>
      <c r="E137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Master'!$F:$F,B137),"")</f>
        <v>0.127</v>
      </c>
      <c r="F137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Master'!$F:$F,B137),"")</f>
        <v>7.1999999999999995E-2</v>
      </c>
      <c r="G137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Master'!$F:$F,B137),"")</f>
        <v>143</v>
      </c>
      <c r="H137">
        <f>IF(AND(ISNUMBER(C137),C137&gt;='Bulk Calculator'!U15/('Bulk Calculator'!J15*'Bulk Calculator'!L15)),1,0)</f>
        <v>1</v>
      </c>
      <c r="I137">
        <f>IFERROR(IF(AND(ISNUMBER(E137),ISNUMBER(F137),E137&gt;0,F137&gt;0),SQRT(3)*'Bulk Calculator'!O15*'Bulk Calculator'!AA15*((E137*'Bulk Calculator'!Q15)+(F137*SQRT(1-'Bulk Calculator'!Q15^2)))/'Bulk Calculator'!J15/'Bulk Calculator'!K15*100,D137*'Bulk Calculator'!AA15*'Bulk Calculator'!O15/'Bulk Calculator'!J15/'Bulk Calculator'!K15*100),"")</f>
        <v>2.4583411157664604E-4</v>
      </c>
      <c r="J137">
        <f>IFERROR(IF(AND(ISNUMBER(E137),ISNUMBER(F137),E137&gt;0,F137&gt;0),SQRT(3)*'Bulk Calculator'!O15*'Bulk Calculator'!U15*((E137*'Bulk Calculator'!M15)+(F137*SQRT(1-'Bulk Calculator'!M15^2)))/'Bulk Calculator'!J15/'Bulk Calculator'!K15*100,D137*'Bulk Calculator'!U15*'Bulk Calculator'!O15/'Bulk Calculator'!J15/'Bulk Calculator'!K15*100),"")</f>
        <v>2.2223619766301985E-4</v>
      </c>
      <c r="K137">
        <f>IFERROR(G137*B137*'Bulk Calculator'!J15/SQRT('Bulk Calculator'!S15)/1000,"")</f>
        <v>59.155178344756941</v>
      </c>
      <c r="L137">
        <f>IF(OR('Bulk Calculator'!R15="",'Bulk Calculator'!S15="",G137=""),0,IF(K137&gt;='Bulk Calculator'!R15,1,0))</f>
        <v>1</v>
      </c>
      <c r="M137">
        <f>IF(AND(H137=1,I137&lt;='OS-DORAEN'!$B$6,J137&lt;='OS-DORAEN'!$B$5,L137=1),1,0)</f>
        <v>1</v>
      </c>
      <c r="N137" t="str">
        <f t="shared" si="2"/>
        <v>R/X</v>
      </c>
    </row>
    <row r="138" spans="1:14" ht="15" customHeight="1" x14ac:dyDescent="0.35">
      <c r="A138">
        <v>15</v>
      </c>
      <c r="B138">
        <v>150</v>
      </c>
      <c r="C138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Master'!$F:$F,B138),"")</f>
        <v>365</v>
      </c>
      <c r="D138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Master'!$F:$F,B138),"")</f>
        <v>0.21199999999999999</v>
      </c>
      <c r="E138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Master'!$F:$F,B138),"")</f>
        <v>0.159</v>
      </c>
      <c r="F138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Master'!$F:$F,B138),"")</f>
        <v>7.1999999999999995E-2</v>
      </c>
      <c r="G138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Master'!$F:$F,B138),"")</f>
        <v>143</v>
      </c>
      <c r="H138">
        <f>IF(AND(ISNUMBER(C138),C138&gt;='Bulk Calculator'!U15/('Bulk Calculator'!J15*'Bulk Calculator'!L15)),1,0)</f>
        <v>1</v>
      </c>
      <c r="I138">
        <f>IFERROR(IF(AND(ISNUMBER(E138),ISNUMBER(F138),E138&gt;0,F138&gt;0),SQRT(3)*'Bulk Calculator'!O15*'Bulk Calculator'!AA15*((E138*'Bulk Calculator'!Q15)+(F138*SQRT(1-'Bulk Calculator'!Q15^2)))/'Bulk Calculator'!J15/'Bulk Calculator'!K15*100,D138*'Bulk Calculator'!AA15*'Bulk Calculator'!O15/'Bulk Calculator'!J15/'Bulk Calculator'!K15*100),"")</f>
        <v>2.6793494891329999E-4</v>
      </c>
      <c r="J138">
        <f>IFERROR(IF(AND(ISNUMBER(E138),ISNUMBER(F138),E138&gt;0,F138&gt;0),SQRT(3)*'Bulk Calculator'!O15*'Bulk Calculator'!U15*((E138*'Bulk Calculator'!M15)+(F138*SQRT(1-'Bulk Calculator'!M15^2)))/'Bulk Calculator'!J15/'Bulk Calculator'!K15*100,D138*'Bulk Calculator'!U15*'Bulk Calculator'!O15/'Bulk Calculator'!J15/'Bulk Calculator'!K15*100),"")</f>
        <v>2.6152657515040461E-4</v>
      </c>
      <c r="K138">
        <f>IFERROR(G138*B138*'Bulk Calculator'!J15/SQRT('Bulk Calculator'!S15)/1000,"")</f>
        <v>47.963658117370493</v>
      </c>
      <c r="L138">
        <f>IF(OR('Bulk Calculator'!R15="",'Bulk Calculator'!S15="",G138=""),0,IF(K138&gt;='Bulk Calculator'!R15,1,0))</f>
        <v>1</v>
      </c>
      <c r="M138">
        <f>IF(AND(H138=1,I138&lt;='OS-DORAEN'!$B$6,J138&lt;='OS-DORAEN'!$B$5,L138=1),1,0)</f>
        <v>1</v>
      </c>
      <c r="N138" t="str">
        <f t="shared" si="2"/>
        <v>R/X</v>
      </c>
    </row>
    <row r="139" spans="1:14" ht="15" customHeight="1" x14ac:dyDescent="0.35">
      <c r="A139">
        <v>15</v>
      </c>
      <c r="B139">
        <v>120</v>
      </c>
      <c r="C139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Master'!$F:$F,B139),"")</f>
        <v>321.2</v>
      </c>
      <c r="D139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Master'!$F:$F,B139),"")</f>
        <v>0.26</v>
      </c>
      <c r="E139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Master'!$F:$F,B139),"")</f>
        <v>0.19600000000000001</v>
      </c>
      <c r="F139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Master'!$F:$F,B139),"")</f>
        <v>7.1999999999999995E-2</v>
      </c>
      <c r="G139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Master'!$F:$F,B139),"")</f>
        <v>143</v>
      </c>
      <c r="H139">
        <f>IF(AND(ISNUMBER(C139),C139&gt;='Bulk Calculator'!U15/('Bulk Calculator'!J15*'Bulk Calculator'!L15)),1,0)</f>
        <v>1</v>
      </c>
      <c r="I139">
        <f>IFERROR(IF(AND(ISNUMBER(E139),ISNUMBER(F139),E139&gt;0,F139&gt;0),SQRT(3)*'Bulk Calculator'!O15*'Bulk Calculator'!AA15*((E139*'Bulk Calculator'!Q15)+(F139*SQRT(1-'Bulk Calculator'!Q15^2)))/'Bulk Calculator'!J15/'Bulk Calculator'!K15*100,D139*'Bulk Calculator'!AA15*'Bulk Calculator'!O15/'Bulk Calculator'!J15/'Bulk Calculator'!K15*100),"")</f>
        <v>2.9348904208380608E-4</v>
      </c>
      <c r="J139">
        <f>IFERROR(IF(AND(ISNUMBER(E139),ISNUMBER(F139),E139&gt;0,F139&gt;0),SQRT(3)*'Bulk Calculator'!O15*'Bulk Calculator'!U15*((E139*'Bulk Calculator'!M15)+(F139*SQRT(1-'Bulk Calculator'!M15^2)))/'Bulk Calculator'!J15/'Bulk Calculator'!K15*100,D139*'Bulk Calculator'!U15*'Bulk Calculator'!O15/'Bulk Calculator'!J15/'Bulk Calculator'!K15*100),"")</f>
        <v>3.0695607412019321E-4</v>
      </c>
      <c r="K139">
        <f>IFERROR(G139*B139*'Bulk Calculator'!J15/SQRT('Bulk Calculator'!S15)/1000,"")</f>
        <v>38.370926493896391</v>
      </c>
      <c r="L139">
        <f>IF(OR('Bulk Calculator'!R15="",'Bulk Calculator'!S15="",G139=""),0,IF(K139&gt;='Bulk Calculator'!R15,1,0))</f>
        <v>1</v>
      </c>
      <c r="M139">
        <f>IF(AND(H139=1,I139&lt;='OS-DORAEN'!$B$6,J139&lt;='OS-DORAEN'!$B$5,L139=1),1,0)</f>
        <v>1</v>
      </c>
      <c r="N139" t="str">
        <f t="shared" si="2"/>
        <v>R/X</v>
      </c>
    </row>
    <row r="140" spans="1:14" ht="15" customHeight="1" x14ac:dyDescent="0.35">
      <c r="A140">
        <v>15</v>
      </c>
      <c r="B140">
        <v>95</v>
      </c>
      <c r="C140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Master'!$F:$F,B140),"")</f>
        <v>276.2</v>
      </c>
      <c r="D140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Master'!$F:$F,B140),"")</f>
        <v>0.32800000000000001</v>
      </c>
      <c r="E140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Master'!$F:$F,B140),"")</f>
        <v>0.247</v>
      </c>
      <c r="F140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Master'!$F:$F,B140),"")</f>
        <v>7.3999999999999996E-2</v>
      </c>
      <c r="G140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Master'!$F:$F,B140),"")</f>
        <v>143</v>
      </c>
      <c r="H140">
        <f>IF(AND(ISNUMBER(C140),C140&gt;='Bulk Calculator'!U15/('Bulk Calculator'!J15*'Bulk Calculator'!L15)),1,0)</f>
        <v>1</v>
      </c>
      <c r="I140">
        <f>IFERROR(IF(AND(ISNUMBER(E140),ISNUMBER(F140),E140&gt;0,F140&gt;0),SQRT(3)*'Bulk Calculator'!O15*'Bulk Calculator'!AA15*((E140*'Bulk Calculator'!Q15)+(F140*SQRT(1-'Bulk Calculator'!Q15^2)))/'Bulk Calculator'!J15/'Bulk Calculator'!K15*100,D140*'Bulk Calculator'!AA15*'Bulk Calculator'!O15/'Bulk Calculator'!J15/'Bulk Calculator'!K15*100),"")</f>
        <v>3.3310451307234272E-4</v>
      </c>
      <c r="J140">
        <f>IFERROR(IF(AND(ISNUMBER(E140),ISNUMBER(F140),E140&gt;0,F140&gt;0),SQRT(3)*'Bulk Calculator'!O15*'Bulk Calculator'!U15*((E140*'Bulk Calculator'!M15)+(F140*SQRT(1-'Bulk Calculator'!M15^2)))/'Bulk Calculator'!J15/'Bulk Calculator'!K15*100,D140*'Bulk Calculator'!U15*'Bulk Calculator'!O15/'Bulk Calculator'!J15/'Bulk Calculator'!K15*100),"")</f>
        <v>3.7141684968543378E-4</v>
      </c>
      <c r="K140">
        <f>IFERROR(G140*B140*'Bulk Calculator'!J15/SQRT('Bulk Calculator'!S15)/1000,"")</f>
        <v>30.376983474334644</v>
      </c>
      <c r="L140">
        <f>IF(OR('Bulk Calculator'!R15="",'Bulk Calculator'!S15="",G140=""),0,IF(K140&gt;='Bulk Calculator'!R15,1,0))</f>
        <v>1</v>
      </c>
      <c r="M140">
        <f>IF(AND(H140=1,I140&lt;='OS-DORAEN'!$B$6,J140&lt;='OS-DORAEN'!$B$5,L140=1),1,0)</f>
        <v>1</v>
      </c>
      <c r="N140" t="str">
        <f t="shared" si="2"/>
        <v>R/X</v>
      </c>
    </row>
    <row r="141" spans="1:14" ht="15" customHeight="1" x14ac:dyDescent="0.35">
      <c r="A141">
        <v>15</v>
      </c>
      <c r="B141">
        <v>70</v>
      </c>
      <c r="C141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Master'!$F:$F,B141),"")</f>
        <v>223.8</v>
      </c>
      <c r="D141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Master'!$F:$F,B141),"")</f>
        <v>0.45400000000000001</v>
      </c>
      <c r="E141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Master'!$F:$F,B141),"")</f>
        <v>0.34300000000000003</v>
      </c>
      <c r="F141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Master'!$F:$F,B141),"")</f>
        <v>7.6999999999999999E-2</v>
      </c>
      <c r="G141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Master'!$F:$F,B141),"")</f>
        <v>143</v>
      </c>
      <c r="H141">
        <f>IF(AND(ISNUMBER(C141),C141&gt;='Bulk Calculator'!U15/('Bulk Calculator'!J15*'Bulk Calculator'!L15)),1,0)</f>
        <v>1</v>
      </c>
      <c r="I141">
        <f>IFERROR(IF(AND(ISNUMBER(E141),ISNUMBER(F141),E141&gt;0,F141&gt;0),SQRT(3)*'Bulk Calculator'!O15*'Bulk Calculator'!AA15*((E141*'Bulk Calculator'!Q15)+(F141*SQRT(1-'Bulk Calculator'!Q15^2)))/'Bulk Calculator'!J15/'Bulk Calculator'!K15*100,D141*'Bulk Calculator'!AA15*'Bulk Calculator'!O15/'Bulk Calculator'!J15/'Bulk Calculator'!K15*100),"")</f>
        <v>4.0599541730717111E-4</v>
      </c>
      <c r="J141">
        <f>IFERROR(IF(AND(ISNUMBER(E141),ISNUMBER(F141),E141&gt;0,F141&gt;0),SQRT(3)*'Bulk Calculator'!O15*'Bulk Calculator'!U15*((E141*'Bulk Calculator'!M15)+(F141*SQRT(1-'Bulk Calculator'!M15^2)))/'Bulk Calculator'!J15/'Bulk Calculator'!K15*100,D141*'Bulk Calculator'!U15*'Bulk Calculator'!O15/'Bulk Calculator'!J15/'Bulk Calculator'!K15*100),"")</f>
        <v>4.9205058681466973E-4</v>
      </c>
      <c r="K141">
        <f>IFERROR(G141*B141*'Bulk Calculator'!J15/SQRT('Bulk Calculator'!S15)/1000,"")</f>
        <v>22.383040454772893</v>
      </c>
      <c r="L141">
        <f>IF(OR('Bulk Calculator'!R15="",'Bulk Calculator'!S15="",G141=""),0,IF(K141&gt;='Bulk Calculator'!R15,1,0))</f>
        <v>1</v>
      </c>
      <c r="M141">
        <f>IF(AND(H141=1,I141&lt;='OS-DORAEN'!$B$6,J141&lt;='OS-DORAEN'!$B$5,L141=1),1,0)</f>
        <v>1</v>
      </c>
      <c r="N141" t="str">
        <f t="shared" si="2"/>
        <v>R/X</v>
      </c>
    </row>
    <row r="142" spans="1:14" ht="15" customHeight="1" x14ac:dyDescent="0.35">
      <c r="A142">
        <v>15</v>
      </c>
      <c r="B142">
        <v>50</v>
      </c>
      <c r="C142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Master'!$F:$F,B142),"")</f>
        <v>177.5</v>
      </c>
      <c r="D142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Master'!$F:$F,B142),"")</f>
        <v>0.65600000000000003</v>
      </c>
      <c r="E142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Master'!$F:$F,B142),"")</f>
        <v>0.495</v>
      </c>
      <c r="F142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Master'!$F:$F,B142),"")</f>
        <v>7.8E-2</v>
      </c>
      <c r="G142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Master'!$F:$F,B142),"")</f>
        <v>143</v>
      </c>
      <c r="H142">
        <f>IF(AND(ISNUMBER(C142),C142&gt;='Bulk Calculator'!U15/('Bulk Calculator'!J15*'Bulk Calculator'!L15)),1,0)</f>
        <v>1</v>
      </c>
      <c r="I142">
        <f>IFERROR(IF(AND(ISNUMBER(E142),ISNUMBER(F142),E142&gt;0,F142&gt;0),SQRT(3)*'Bulk Calculator'!O15*'Bulk Calculator'!AA15*((E142*'Bulk Calculator'!Q15)+(F142*SQRT(1-'Bulk Calculator'!Q15^2)))/'Bulk Calculator'!J15/'Bulk Calculator'!K15*100,D142*'Bulk Calculator'!AA15*'Bulk Calculator'!O15/'Bulk Calculator'!J15/'Bulk Calculator'!K15*100),"")</f>
        <v>5.1317052539789942E-4</v>
      </c>
      <c r="J142">
        <f>IFERROR(IF(AND(ISNUMBER(E142),ISNUMBER(F142),E142&gt;0,F142&gt;0),SQRT(3)*'Bulk Calculator'!O15*'Bulk Calculator'!U15*((E142*'Bulk Calculator'!M15)+(F142*SQRT(1-'Bulk Calculator'!M15^2)))/'Bulk Calculator'!J15/'Bulk Calculator'!K15*100,D142*'Bulk Calculator'!U15*'Bulk Calculator'!O15/'Bulk Calculator'!J15/'Bulk Calculator'!K15*100),"")</f>
        <v>6.7960074810210786E-4</v>
      </c>
      <c r="K142">
        <f>IFERROR(G142*B142*'Bulk Calculator'!J15/SQRT('Bulk Calculator'!S15)/1000,"")</f>
        <v>15.987886039123497</v>
      </c>
      <c r="L142">
        <f>IF(OR('Bulk Calculator'!R15="",'Bulk Calculator'!S15="",G142=""),0,IF(K142&gt;='Bulk Calculator'!R15,1,0))</f>
        <v>1</v>
      </c>
      <c r="M142">
        <f>IF(AND(H142=1,I142&lt;='OS-DORAEN'!$B$6,J142&lt;='OS-DORAEN'!$B$5,L142=1),1,0)</f>
        <v>1</v>
      </c>
      <c r="N142" t="str">
        <f t="shared" si="2"/>
        <v>R/X</v>
      </c>
    </row>
    <row r="143" spans="1:14" ht="15" customHeight="1" x14ac:dyDescent="0.35">
      <c r="A143">
        <v>15</v>
      </c>
      <c r="B143">
        <v>35</v>
      </c>
      <c r="C143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Master'!$F:$F,B143),"")</f>
        <v>146.19999999999999</v>
      </c>
      <c r="D143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Master'!$F:$F,B143),"")</f>
        <v>0.88800000000000001</v>
      </c>
      <c r="E143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Master'!$F:$F,B143),"")</f>
        <v>0.67100000000000004</v>
      </c>
      <c r="F143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Master'!$F:$F,B143),"")</f>
        <v>0.08</v>
      </c>
      <c r="G143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Master'!$F:$F,B143),"")</f>
        <v>143</v>
      </c>
      <c r="H143">
        <f>IF(AND(ISNUMBER(C143),C143&gt;='Bulk Calculator'!U15/('Bulk Calculator'!J15*'Bulk Calculator'!L15)),1,0)</f>
        <v>1</v>
      </c>
      <c r="I143">
        <f>IFERROR(IF(AND(ISNUMBER(E143),ISNUMBER(F143),E143&gt;0,F143&gt;0),SQRT(3)*'Bulk Calculator'!O15*'Bulk Calculator'!AA15*((E143*'Bulk Calculator'!Q15)+(F143*SQRT(1-'Bulk Calculator'!Q15^2)))/'Bulk Calculator'!J15/'Bulk Calculator'!K15*100,D143*'Bulk Calculator'!AA15*'Bulk Calculator'!O15/'Bulk Calculator'!J15/'Bulk Calculator'!K15*100),"")</f>
        <v>6.3911739223274035E-4</v>
      </c>
      <c r="J143">
        <f>IFERROR(IF(AND(ISNUMBER(E143),ISNUMBER(F143),E143&gt;0,F143&gt;0),SQRT(3)*'Bulk Calculator'!O15*'Bulk Calculator'!U15*((E143*'Bulk Calculator'!M15)+(F143*SQRT(1-'Bulk Calculator'!M15^2)))/'Bulk Calculator'!J15/'Bulk Calculator'!K15*100,D143*'Bulk Calculator'!U15*'Bulk Calculator'!O15/'Bulk Calculator'!J15/'Bulk Calculator'!K15*100),"")</f>
        <v>8.9753956072744488E-4</v>
      </c>
      <c r="K143">
        <f>IFERROR(G143*B143*'Bulk Calculator'!J15/SQRT('Bulk Calculator'!S15)/1000,"")</f>
        <v>11.191520227386446</v>
      </c>
      <c r="L143">
        <f>IF(OR('Bulk Calculator'!R15="",'Bulk Calculator'!S15="",G143=""),0,IF(K143&gt;='Bulk Calculator'!R15,1,0))</f>
        <v>1</v>
      </c>
      <c r="M143">
        <f>IF(AND(H143=1,I143&lt;='OS-DORAEN'!$B$6,J143&lt;='OS-DORAEN'!$B$5,L143=1),1,0)</f>
        <v>1</v>
      </c>
      <c r="N143" t="str">
        <f t="shared" si="2"/>
        <v>R/X</v>
      </c>
    </row>
    <row r="144" spans="1:14" ht="15" customHeight="1" x14ac:dyDescent="0.35">
      <c r="A144">
        <v>15</v>
      </c>
      <c r="B144">
        <v>25</v>
      </c>
      <c r="C144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Master'!$F:$F,B144),"")</f>
        <v>120</v>
      </c>
      <c r="D144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Master'!$F:$F,B144),"")</f>
        <v>1.232</v>
      </c>
      <c r="E144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Master'!$F:$F,B144),"")</f>
        <v>0.93</v>
      </c>
      <c r="F144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Master'!$F:$F,B144),"")</f>
        <v>0.08</v>
      </c>
      <c r="G144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Master'!$F:$F,B144),"")</f>
        <v>143</v>
      </c>
      <c r="H144">
        <f>IF(AND(ISNUMBER(C144),C144&gt;='Bulk Calculator'!U15/('Bulk Calculator'!J15*'Bulk Calculator'!L15)),1,0)</f>
        <v>1</v>
      </c>
      <c r="I144">
        <f>IFERROR(IF(AND(ISNUMBER(E144),ISNUMBER(F144),E144&gt;0,F144&gt;0),SQRT(3)*'Bulk Calculator'!O15*'Bulk Calculator'!AA15*((E144*'Bulk Calculator'!Q15)+(F144*SQRT(1-'Bulk Calculator'!Q15^2)))/'Bulk Calculator'!J15/'Bulk Calculator'!K15*100,D144*'Bulk Calculator'!AA15*'Bulk Calculator'!O15/'Bulk Calculator'!J15/'Bulk Calculator'!K15*100),"")</f>
        <v>8.1799604442628316E-4</v>
      </c>
      <c r="J144">
        <f>IFERROR(IF(AND(ISNUMBER(E144),ISNUMBER(F144),E144&gt;0,F144&gt;0),SQRT(3)*'Bulk Calculator'!O15*'Bulk Calculator'!U15*((E144*'Bulk Calculator'!M15)+(F144*SQRT(1-'Bulk Calculator'!M15^2)))/'Bulk Calculator'!J15/'Bulk Calculator'!K15*100,D144*'Bulk Calculator'!U15*'Bulk Calculator'!O15/'Bulk Calculator'!J15/'Bulk Calculator'!K15*100),"")</f>
        <v>1.2155460535159652E-3</v>
      </c>
      <c r="K144">
        <f>IFERROR(G144*B144*'Bulk Calculator'!J15/SQRT('Bulk Calculator'!S15)/1000,"")</f>
        <v>7.9939430195617485</v>
      </c>
      <c r="L144">
        <f>IF(OR('Bulk Calculator'!R15="",'Bulk Calculator'!S15="",G144=""),0,IF(K144&gt;='Bulk Calculator'!R15,1,0))</f>
        <v>1</v>
      </c>
      <c r="M144">
        <f>IF(AND(H144=1,I144&lt;='OS-DORAEN'!$B$6,J144&lt;='OS-DORAEN'!$B$5,L144=1),1,0)</f>
        <v>1</v>
      </c>
      <c r="N144" t="str">
        <f t="shared" si="2"/>
        <v>R/X</v>
      </c>
    </row>
    <row r="145" spans="1:14" ht="15" customHeight="1" x14ac:dyDescent="0.35">
      <c r="A145">
        <v>15</v>
      </c>
      <c r="B145">
        <v>16</v>
      </c>
      <c r="C145">
        <f>IFERROR(SUMIFS('Cable Data Master'!$G:$G,'Cable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Master'!$F:$F,B145),"")</f>
        <v>0</v>
      </c>
      <c r="D145">
        <f>IFERROR(SUMIFS('Cable Data Master'!$K:$K,'Cable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Master'!$F:$F,B145),"")</f>
        <v>0</v>
      </c>
      <c r="E145">
        <f>IFERROR(SUMIFS('Cable Data Master'!$H:$H,'Cable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Master'!$F:$F,B145),"")</f>
        <v>0</v>
      </c>
      <c r="F145">
        <f>IFERROR(SUMIFS('Cable Data Master'!$I:$I,'Cable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Master'!$F:$F,B145),"")</f>
        <v>0</v>
      </c>
      <c r="G145">
        <f>IFERROR(SUMIFS('Cable Data Master'!$J:$J,'Cable Data Master'!$A:$A,'Bulk Calculator'!$BF15,'Cable Data Master'!$B:$B,'Bulk Calculator'!$BG15,'Cable Data Master'!$C:$C,'Bulk Calculator'!$BH15,'Cable Data Master'!$D:$D,'Bulk Calculator'!$BI15,'Cable Data Master'!$E:$E,'Bulk Calculator'!$BJ15,'Cable Data Master'!$F:$F,B145),"")</f>
        <v>0</v>
      </c>
      <c r="H145">
        <f>IF(AND(ISNUMBER(C145),C145&gt;='Bulk Calculator'!U15/('Bulk Calculator'!J15*'Bulk Calculator'!L15)),1,0)</f>
        <v>0</v>
      </c>
      <c r="I145">
        <f>IFERROR(IF(AND(ISNUMBER(E145),ISNUMBER(F145),E145&gt;0,F145&gt;0),SQRT(3)*'Bulk Calculator'!O15*'Bulk Calculator'!AA15*((E145*'Bulk Calculator'!Q15)+(F145*SQRT(1-'Bulk Calculator'!Q15^2)))/'Bulk Calculator'!J15/'Bulk Calculator'!K15*100,D145*'Bulk Calculator'!AA15*'Bulk Calculator'!O15/'Bulk Calculator'!J15/'Bulk Calculator'!K15*100),"")</f>
        <v>0</v>
      </c>
      <c r="J145">
        <f>IFERROR(IF(AND(ISNUMBER(E145),ISNUMBER(F145),E145&gt;0,F145&gt;0),SQRT(3)*'Bulk Calculator'!O15*'Bulk Calculator'!U15*((E145*'Bulk Calculator'!M15)+(F145*SQRT(1-'Bulk Calculator'!M15^2)))/'Bulk Calculator'!J15/'Bulk Calculator'!K15*100,D145*'Bulk Calculator'!U15*'Bulk Calculator'!O15/'Bulk Calculator'!J15/'Bulk Calculator'!K15*100),"")</f>
        <v>0</v>
      </c>
      <c r="K145">
        <f>IFERROR(G145*B145*'Bulk Calculator'!J15/SQRT('Bulk Calculator'!S15)/1000,"")</f>
        <v>0</v>
      </c>
      <c r="L145">
        <f>IF(OR('Bulk Calculator'!R15="",'Bulk Calculator'!S15="",G145=""),0,IF(K145&gt;='Bulk Calculator'!R15,1,0))</f>
        <v>0</v>
      </c>
      <c r="M145">
        <f>IF(AND(H145=1,I145&lt;='OS-DORAEN'!$B$6,J145&lt;='OS-DORAEN'!$B$5,L145=1),1,0)</f>
        <v>0</v>
      </c>
      <c r="N145" t="str">
        <f t="shared" si="2"/>
        <v>Manufacturer VD Ref</v>
      </c>
    </row>
    <row r="146" spans="1:14" ht="15" customHeight="1" x14ac:dyDescent="0.35">
      <c r="A146">
        <v>16</v>
      </c>
      <c r="B146">
        <v>400</v>
      </c>
      <c r="C146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Master'!$F:$F,B146),"")</f>
        <v>530</v>
      </c>
      <c r="D146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Master'!$F:$F,B146),"")</f>
        <v>0.1023</v>
      </c>
      <c r="E146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Master'!$F:$F,B146),"")</f>
        <v>0.1023</v>
      </c>
      <c r="F146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Master'!$F:$F,B146),"")</f>
        <v>7.0000000000000007E-2</v>
      </c>
      <c r="G146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Master'!$F:$F,B146),"")</f>
        <v>143</v>
      </c>
      <c r="H146">
        <f>IF(AND(ISNUMBER(C146),C146&gt;='Bulk Calculator'!U16/('Bulk Calculator'!J16*'Bulk Calculator'!L16)),1,0)</f>
        <v>1</v>
      </c>
      <c r="I146">
        <f>IFERROR(IF(AND(ISNUMBER(E146),ISNUMBER(F146),E146&gt;0,F146&gt;0),SQRT(3)*'Bulk Calculator'!O16*'Bulk Calculator'!AA16*((E146*'Bulk Calculator'!Q16)+(F146*SQRT(1-'Bulk Calculator'!Q16^2)))/'Bulk Calculator'!J16/'Bulk Calculator'!K16*100,D146*'Bulk Calculator'!AA16*'Bulk Calculator'!O16/'Bulk Calculator'!J16/'Bulk Calculator'!K16*100),"")</f>
        <v>3.7397127712361975E-5</v>
      </c>
      <c r="J146">
        <f>IFERROR(IF(AND(ISNUMBER(E146),ISNUMBER(F146),E146&gt;0,F146&gt;0),SQRT(3)*'Bulk Calculator'!O16*'Bulk Calculator'!U16*((E146*'Bulk Calculator'!M16)+(F146*SQRT(1-'Bulk Calculator'!M16^2)))/'Bulk Calculator'!J16/'Bulk Calculator'!K16*100,D146*'Bulk Calculator'!U16*'Bulk Calculator'!O16/'Bulk Calculator'!J16/'Bulk Calculator'!K16*100),"")</f>
        <v>3.1677866849203944E-5</v>
      </c>
      <c r="K146">
        <f>IFERROR(G146*B146*'Bulk Calculator'!J16/SQRT('Bulk Calculator'!S16)/1000,"")</f>
        <v>127.90308831298798</v>
      </c>
      <c r="L146">
        <f>IF(OR('Bulk Calculator'!R16="",'Bulk Calculator'!S16="",G146=""),0,IF(K146&gt;='Bulk Calculator'!R16,1,0))</f>
        <v>1</v>
      </c>
      <c r="M146">
        <f>IF(AND(H146=1,I146&lt;='OS-DORAEN'!$B$6,J146&lt;='OS-DORAEN'!$B$5,L146=1),1,0)</f>
        <v>1</v>
      </c>
      <c r="N146" t="str">
        <f t="shared" si="2"/>
        <v>R/X</v>
      </c>
    </row>
    <row r="147" spans="1:14" ht="15" customHeight="1" x14ac:dyDescent="0.35">
      <c r="A147">
        <v>16</v>
      </c>
      <c r="B147">
        <v>300</v>
      </c>
      <c r="C147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Master'!$F:$F,B147),"")</f>
        <v>455</v>
      </c>
      <c r="D147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Master'!$F:$F,B147),"")</f>
        <v>0.13</v>
      </c>
      <c r="E147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Master'!$F:$F,B147),"")</f>
        <v>0.13</v>
      </c>
      <c r="F147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Master'!$F:$F,B147),"")</f>
        <v>7.0999999999999994E-2</v>
      </c>
      <c r="G147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Master'!$F:$F,B147),"")</f>
        <v>143</v>
      </c>
      <c r="H147">
        <f>IF(AND(ISNUMBER(C147),C147&gt;='Bulk Calculator'!U16/('Bulk Calculator'!J16*'Bulk Calculator'!L16)),1,0)</f>
        <v>1</v>
      </c>
      <c r="I147">
        <f>IFERROR(IF(AND(ISNUMBER(E147),ISNUMBER(F147),E147&gt;0,F147&gt;0),SQRT(3)*'Bulk Calculator'!O16*'Bulk Calculator'!AA16*((E147*'Bulk Calculator'!Q16)+(F147*SQRT(1-'Bulk Calculator'!Q16^2)))/'Bulk Calculator'!J16/'Bulk Calculator'!K16*100,D147*'Bulk Calculator'!AA16*'Bulk Calculator'!O16/'Bulk Calculator'!J16/'Bulk Calculator'!K16*100),"")</f>
        <v>4.0951655722555858E-5</v>
      </c>
      <c r="J147">
        <f>IFERROR(IF(AND(ISNUMBER(E147),ISNUMBER(F147),E147&gt;0,F147&gt;0),SQRT(3)*'Bulk Calculator'!O16*'Bulk Calculator'!U16*((E147*'Bulk Calculator'!M16)+(F147*SQRT(1-'Bulk Calculator'!M16^2)))/'Bulk Calculator'!J16/'Bulk Calculator'!K16*100,D147*'Bulk Calculator'!U16*'Bulk Calculator'!O16/'Bulk Calculator'!J16/'Bulk Calculator'!K16*100),"")</f>
        <v>3.7499800388350271E-5</v>
      </c>
      <c r="K147">
        <f>IFERROR(G147*B147*'Bulk Calculator'!J16/SQRT('Bulk Calculator'!S16)/1000,"")</f>
        <v>95.927316234740985</v>
      </c>
      <c r="L147">
        <f>IF(OR('Bulk Calculator'!R16="",'Bulk Calculator'!S16="",G147=""),0,IF(K147&gt;='Bulk Calculator'!R16,1,0))</f>
        <v>1</v>
      </c>
      <c r="M147">
        <f>IF(AND(H147=1,I147&lt;='OS-DORAEN'!$B$6,J147&lt;='OS-DORAEN'!$B$5,L147=1),1,0)</f>
        <v>1</v>
      </c>
      <c r="N147" t="str">
        <f t="shared" si="2"/>
        <v>R/X</v>
      </c>
    </row>
    <row r="148" spans="1:14" ht="15" customHeight="1" x14ac:dyDescent="0.35">
      <c r="A148">
        <v>16</v>
      </c>
      <c r="B148">
        <v>240</v>
      </c>
      <c r="C148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Master'!$F:$F,B148),"")</f>
        <v>399</v>
      </c>
      <c r="D148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Master'!$F:$F,B148),"")</f>
        <v>0.16200000000000001</v>
      </c>
      <c r="E148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Master'!$F:$F,B148),"")</f>
        <v>0.16200000000000001</v>
      </c>
      <c r="F148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Master'!$F:$F,B148),"")</f>
        <v>7.1999999999999995E-2</v>
      </c>
      <c r="G148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Master'!$F:$F,B148),"")</f>
        <v>143</v>
      </c>
      <c r="H148">
        <f>IF(AND(ISNUMBER(C148),C148&gt;='Bulk Calculator'!U16/('Bulk Calculator'!J16*'Bulk Calculator'!L16)),1,0)</f>
        <v>1</v>
      </c>
      <c r="I148">
        <f>IFERROR(IF(AND(ISNUMBER(E148),ISNUMBER(F148),E148&gt;0,F148&gt;0),SQRT(3)*'Bulk Calculator'!O16*'Bulk Calculator'!AA16*((E148*'Bulk Calculator'!Q16)+(F148*SQRT(1-'Bulk Calculator'!Q16^2)))/'Bulk Calculator'!J16/'Bulk Calculator'!K16*100,D148*'Bulk Calculator'!AA16*'Bulk Calculator'!O16/'Bulk Calculator'!J16/'Bulk Calculator'!K16*100),"")</f>
        <v>4.5001150402268546E-5</v>
      </c>
      <c r="J148">
        <f>IFERROR(IF(AND(ISNUMBER(E148),ISNUMBER(F148),E148&gt;0,F148&gt;0),SQRT(3)*'Bulk Calculator'!O16*'Bulk Calculator'!U16*((E148*'Bulk Calculator'!M16)+(F148*SQRT(1-'Bulk Calculator'!M16^2)))/'Bulk Calculator'!J16/'Bulk Calculator'!K16*100,D148*'Bulk Calculator'!U16*'Bulk Calculator'!O16/'Bulk Calculator'!J16/'Bulk Calculator'!K16*100),"")</f>
        <v>4.4201674673307828E-5</v>
      </c>
      <c r="K148">
        <f>IFERROR(G148*B148*'Bulk Calculator'!J16/SQRT('Bulk Calculator'!S16)/1000,"")</f>
        <v>76.741852987792782</v>
      </c>
      <c r="L148">
        <f>IF(OR('Bulk Calculator'!R16="",'Bulk Calculator'!S16="",G148=""),0,IF(K148&gt;='Bulk Calculator'!R16,1,0))</f>
        <v>1</v>
      </c>
      <c r="M148">
        <f>IF(AND(H148=1,I148&lt;='OS-DORAEN'!$B$6,J148&lt;='OS-DORAEN'!$B$5,L148=1),1,0)</f>
        <v>1</v>
      </c>
      <c r="N148" t="str">
        <f t="shared" si="2"/>
        <v>R/X</v>
      </c>
    </row>
    <row r="149" spans="1:14" ht="15" customHeight="1" x14ac:dyDescent="0.35">
      <c r="A149">
        <v>16</v>
      </c>
      <c r="B149">
        <v>185</v>
      </c>
      <c r="C149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Master'!$F:$F,B149),"")</f>
        <v>337</v>
      </c>
      <c r="D149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Master'!$F:$F,B149),"")</f>
        <v>0.21099999999999999</v>
      </c>
      <c r="E149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Master'!$F:$F,B149),"")</f>
        <v>0.21099999999999999</v>
      </c>
      <c r="F149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Master'!$F:$F,B149),"")</f>
        <v>7.1999999999999995E-2</v>
      </c>
      <c r="G149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Master'!$F:$F,B149),"")</f>
        <v>143</v>
      </c>
      <c r="H149">
        <f>IF(AND(ISNUMBER(C149),C149&gt;='Bulk Calculator'!U16/('Bulk Calculator'!J16*'Bulk Calculator'!L16)),1,0)</f>
        <v>1</v>
      </c>
      <c r="I149">
        <f>IFERROR(IF(AND(ISNUMBER(E149),ISNUMBER(F149),E149&gt;0,F149&gt;0),SQRT(3)*'Bulk Calculator'!O16*'Bulk Calculator'!AA16*((E149*'Bulk Calculator'!Q16)+(F149*SQRT(1-'Bulk Calculator'!Q16^2)))/'Bulk Calculator'!J16/'Bulk Calculator'!K16*100,D149*'Bulk Calculator'!AA16*'Bulk Calculator'!O16/'Bulk Calculator'!J16/'Bulk Calculator'!K16*100),"")</f>
        <v>5.0641468264227095E-5</v>
      </c>
      <c r="J149">
        <f>IFERROR(IF(AND(ISNUMBER(E149),ISNUMBER(F149),E149&gt;0,F149&gt;0),SQRT(3)*'Bulk Calculator'!O16*'Bulk Calculator'!U16*((E149*'Bulk Calculator'!M16)+(F149*SQRT(1-'Bulk Calculator'!M16^2)))/'Bulk Calculator'!J16/'Bulk Calculator'!K16*100,D149*'Bulk Calculator'!U16*'Bulk Calculator'!O16/'Bulk Calculator'!J16/'Bulk Calculator'!K16*100),"")</f>
        <v>5.4228906427900799E-5</v>
      </c>
      <c r="K149">
        <f>IFERROR(G149*B149*'Bulk Calculator'!J16/SQRT('Bulk Calculator'!S16)/1000,"")</f>
        <v>59.155178344756941</v>
      </c>
      <c r="L149">
        <f>IF(OR('Bulk Calculator'!R16="",'Bulk Calculator'!S16="",G149=""),0,IF(K149&gt;='Bulk Calculator'!R16,1,0))</f>
        <v>1</v>
      </c>
      <c r="M149">
        <f>IF(AND(H149=1,I149&lt;='OS-DORAEN'!$B$6,J149&lt;='OS-DORAEN'!$B$5,L149=1),1,0)</f>
        <v>1</v>
      </c>
      <c r="N149" t="str">
        <f t="shared" si="2"/>
        <v>R/X</v>
      </c>
    </row>
    <row r="150" spans="1:14" ht="15" customHeight="1" x14ac:dyDescent="0.35">
      <c r="A150">
        <v>16</v>
      </c>
      <c r="B150">
        <v>150</v>
      </c>
      <c r="C150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Master'!$F:$F,B150),"")</f>
        <v>292</v>
      </c>
      <c r="D150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Master'!$F:$F,B150),"")</f>
        <v>0.26500000000000001</v>
      </c>
      <c r="E150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Master'!$F:$F,B150),"")</f>
        <v>0.26500000000000001</v>
      </c>
      <c r="F150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Master'!$F:$F,B150),"")</f>
        <v>7.1999999999999995E-2</v>
      </c>
      <c r="G150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Master'!$F:$F,B150),"")</f>
        <v>143</v>
      </c>
      <c r="H150">
        <f>IF(AND(ISNUMBER(C150),C150&gt;='Bulk Calculator'!U16/('Bulk Calculator'!J16*'Bulk Calculator'!L16)),1,0)</f>
        <v>1</v>
      </c>
      <c r="I150">
        <f>IFERROR(IF(AND(ISNUMBER(E150),ISNUMBER(F150),E150&gt;0,F150&gt;0),SQRT(3)*'Bulk Calculator'!O16*'Bulk Calculator'!AA16*((E150*'Bulk Calculator'!Q16)+(F150*SQRT(1-'Bulk Calculator'!Q16^2)))/'Bulk Calculator'!J16/'Bulk Calculator'!K16*100,D150*'Bulk Calculator'!AA16*'Bulk Calculator'!O16/'Bulk Calculator'!J16/'Bulk Calculator'!K16*100),"")</f>
        <v>5.6857328765160998E-5</v>
      </c>
      <c r="J150">
        <f>IFERROR(IF(AND(ISNUMBER(E150),ISNUMBER(F150),E150&gt;0,F150&gt;0),SQRT(3)*'Bulk Calculator'!O16*'Bulk Calculator'!U16*((E150*'Bulk Calculator'!M16)+(F150*SQRT(1-'Bulk Calculator'!M16^2)))/'Bulk Calculator'!J16/'Bulk Calculator'!K16*100,D150*'Bulk Calculator'!U16*'Bulk Calculator'!O16/'Bulk Calculator'!J16/'Bulk Calculator'!K16*100),"")</f>
        <v>6.5279325096227753E-5</v>
      </c>
      <c r="K150">
        <f>IFERROR(G150*B150*'Bulk Calculator'!J16/SQRT('Bulk Calculator'!S16)/1000,"")</f>
        <v>47.963658117370493</v>
      </c>
      <c r="L150">
        <f>IF(OR('Bulk Calculator'!R16="",'Bulk Calculator'!S16="",G150=""),0,IF(K150&gt;='Bulk Calculator'!R16,1,0))</f>
        <v>1</v>
      </c>
      <c r="M150">
        <f>IF(AND(H150=1,I150&lt;='OS-DORAEN'!$B$6,J150&lt;='OS-DORAEN'!$B$5,L150=1),1,0)</f>
        <v>1</v>
      </c>
      <c r="N150" t="str">
        <f t="shared" si="2"/>
        <v>R/X</v>
      </c>
    </row>
    <row r="151" spans="1:14" ht="15" customHeight="1" x14ac:dyDescent="0.35">
      <c r="A151">
        <v>16</v>
      </c>
      <c r="B151">
        <v>120</v>
      </c>
      <c r="C151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Master'!$F:$F,B151),"")</f>
        <v>257</v>
      </c>
      <c r="D151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Master'!$F:$F,B151),"")</f>
        <v>0.32500000000000001</v>
      </c>
      <c r="E151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Master'!$F:$F,B151),"")</f>
        <v>0.32500000000000001</v>
      </c>
      <c r="F151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Master'!$F:$F,B151),"")</f>
        <v>7.1999999999999995E-2</v>
      </c>
      <c r="G151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Master'!$F:$F,B151),"")</f>
        <v>143</v>
      </c>
      <c r="H151">
        <f>IF(AND(ISNUMBER(C151),C151&gt;='Bulk Calculator'!U16/('Bulk Calculator'!J16*'Bulk Calculator'!L16)),1,0)</f>
        <v>1</v>
      </c>
      <c r="I151">
        <f>IFERROR(IF(AND(ISNUMBER(E151),ISNUMBER(F151),E151&gt;0,F151&gt;0),SQRT(3)*'Bulk Calculator'!O16*'Bulk Calculator'!AA16*((E151*'Bulk Calculator'!Q16)+(F151*SQRT(1-'Bulk Calculator'!Q16^2)))/'Bulk Calculator'!J16/'Bulk Calculator'!K16*100,D151*'Bulk Calculator'!AA16*'Bulk Calculator'!O16/'Bulk Calculator'!J16/'Bulk Calculator'!K16*100),"")</f>
        <v>6.3763840432865356E-5</v>
      </c>
      <c r="J151">
        <f>IFERROR(IF(AND(ISNUMBER(E151),ISNUMBER(F151),E151&gt;0,F151&gt;0),SQRT(3)*'Bulk Calculator'!O16*'Bulk Calculator'!U16*((E151*'Bulk Calculator'!M16)+(F151*SQRT(1-'Bulk Calculator'!M16^2)))/'Bulk Calculator'!J16/'Bulk Calculator'!K16*100,D151*'Bulk Calculator'!U16*'Bulk Calculator'!O16/'Bulk Calculator'!J16/'Bulk Calculator'!K16*100),"")</f>
        <v>7.7557568061035483E-5</v>
      </c>
      <c r="K151">
        <f>IFERROR(G151*B151*'Bulk Calculator'!J16/SQRT('Bulk Calculator'!S16)/1000,"")</f>
        <v>38.370926493896391</v>
      </c>
      <c r="L151">
        <f>IF(OR('Bulk Calculator'!R16="",'Bulk Calculator'!S16="",G151=""),0,IF(K151&gt;='Bulk Calculator'!R16,1,0))</f>
        <v>1</v>
      </c>
      <c r="M151">
        <f>IF(AND(H151=1,I151&lt;='OS-DORAEN'!$B$6,J151&lt;='OS-DORAEN'!$B$5,L151=1),1,0)</f>
        <v>1</v>
      </c>
      <c r="N151" t="str">
        <f t="shared" si="2"/>
        <v>R/X</v>
      </c>
    </row>
    <row r="152" spans="1:14" ht="15" customHeight="1" x14ac:dyDescent="0.35">
      <c r="A152">
        <v>16</v>
      </c>
      <c r="B152">
        <v>95</v>
      </c>
      <c r="C152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Master'!$F:$F,B152),"")</f>
        <v>221</v>
      </c>
      <c r="D152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Master'!$F:$F,B152),"")</f>
        <v>0.41</v>
      </c>
      <c r="E152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Master'!$F:$F,B152),"")</f>
        <v>0.41</v>
      </c>
      <c r="F152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Master'!$F:$F,B152),"")</f>
        <v>7.3999999999999996E-2</v>
      </c>
      <c r="G152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Master'!$F:$F,B152),"")</f>
        <v>143</v>
      </c>
      <c r="H152">
        <f>IF(AND(ISNUMBER(C152),C152&gt;='Bulk Calculator'!U16/('Bulk Calculator'!J16*'Bulk Calculator'!L16)),1,0)</f>
        <v>1</v>
      </c>
      <c r="I152">
        <f>IFERROR(IF(AND(ISNUMBER(E152),ISNUMBER(F152),E152&gt;0,F152&gt;0),SQRT(3)*'Bulk Calculator'!O16*'Bulk Calculator'!AA16*((E152*'Bulk Calculator'!Q16)+(F152*SQRT(1-'Bulk Calculator'!Q16^2)))/'Bulk Calculator'!J16/'Bulk Calculator'!K16*100,D152*'Bulk Calculator'!AA16*'Bulk Calculator'!O16/'Bulk Calculator'!J16/'Bulk Calculator'!K16*100),"")</f>
        <v>7.4280108875987246E-5</v>
      </c>
      <c r="J152">
        <f>IFERROR(IF(AND(ISNUMBER(E152),ISNUMBER(F152),E152&gt;0,F152&gt;0),SQRT(3)*'Bulk Calculator'!O16*'Bulk Calculator'!U16*((E152*'Bulk Calculator'!M16)+(F152*SQRT(1-'Bulk Calculator'!M16^2)))/'Bulk Calculator'!J16/'Bulk Calculator'!K16*100,D152*'Bulk Calculator'!U16*'Bulk Calculator'!O16/'Bulk Calculator'!J16/'Bulk Calculator'!K16*100),"")</f>
        <v>9.5258701668633286E-5</v>
      </c>
      <c r="K152">
        <f>IFERROR(G152*B152*'Bulk Calculator'!J16/SQRT('Bulk Calculator'!S16)/1000,"")</f>
        <v>30.376983474334644</v>
      </c>
      <c r="L152">
        <f>IF(OR('Bulk Calculator'!R16="",'Bulk Calculator'!S16="",G152=""),0,IF(K152&gt;='Bulk Calculator'!R16,1,0))</f>
        <v>1</v>
      </c>
      <c r="M152">
        <f>IF(AND(H152=1,I152&lt;='OS-DORAEN'!$B$6,J152&lt;='OS-DORAEN'!$B$5,L152=1),1,0)</f>
        <v>1</v>
      </c>
      <c r="N152" t="str">
        <f t="shared" si="2"/>
        <v>R/X</v>
      </c>
    </row>
    <row r="153" spans="1:14" ht="15" customHeight="1" x14ac:dyDescent="0.35">
      <c r="A153">
        <v>16</v>
      </c>
      <c r="B153">
        <v>70</v>
      </c>
      <c r="C153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Master'!$F:$F,B153),"")</f>
        <v>179</v>
      </c>
      <c r="D153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Master'!$F:$F,B153),"")</f>
        <v>0.56699999999999995</v>
      </c>
      <c r="E153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Master'!$F:$F,B153),"")</f>
        <v>0.56699999999999995</v>
      </c>
      <c r="F153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Master'!$F:$F,B153),"")</f>
        <v>7.6999999999999999E-2</v>
      </c>
      <c r="G153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Master'!$F:$F,B153),"")</f>
        <v>143</v>
      </c>
      <c r="H153">
        <f>IF(AND(ISNUMBER(C153),C153&gt;='Bulk Calculator'!U16/('Bulk Calculator'!J16*'Bulk Calculator'!L16)),1,0)</f>
        <v>1</v>
      </c>
      <c r="I153">
        <f>IFERROR(IF(AND(ISNUMBER(E153),ISNUMBER(F153),E153&gt;0,F153&gt;0),SQRT(3)*'Bulk Calculator'!O16*'Bulk Calculator'!AA16*((E153*'Bulk Calculator'!Q16)+(F153*SQRT(1-'Bulk Calculator'!Q16^2)))/'Bulk Calculator'!J16/'Bulk Calculator'!K16*100,D153*'Bulk Calculator'!AA16*'Bulk Calculator'!O16/'Bulk Calculator'!J16/'Bulk Calculator'!K16*100),"")</f>
        <v>9.3450213110624736E-5</v>
      </c>
      <c r="J153">
        <f>IFERROR(IF(AND(ISNUMBER(E153),ISNUMBER(F153),E153&gt;0,F153&gt;0),SQRT(3)*'Bulk Calculator'!O16*'Bulk Calculator'!U16*((E153*'Bulk Calculator'!M16)+(F153*SQRT(1-'Bulk Calculator'!M16^2)))/'Bulk Calculator'!J16/'Bulk Calculator'!K16*100,D153*'Bulk Calculator'!U16*'Bulk Calculator'!O16/'Bulk Calculator'!J16/'Bulk Calculator'!K16*100),"")</f>
        <v>1.2784720487106046E-4</v>
      </c>
      <c r="K153">
        <f>IFERROR(G153*B153*'Bulk Calculator'!J16/SQRT('Bulk Calculator'!S16)/1000,"")</f>
        <v>22.383040454772893</v>
      </c>
      <c r="L153">
        <f>IF(OR('Bulk Calculator'!R16="",'Bulk Calculator'!S16="",G153=""),0,IF(K153&gt;='Bulk Calculator'!R16,1,0))</f>
        <v>1</v>
      </c>
      <c r="M153">
        <f>IF(AND(H153=1,I153&lt;='OS-DORAEN'!$B$6,J153&lt;='OS-DORAEN'!$B$5,L153=1),1,0)</f>
        <v>1</v>
      </c>
      <c r="N153" t="str">
        <f t="shared" si="2"/>
        <v>R/X</v>
      </c>
    </row>
    <row r="154" spans="1:14" ht="15" customHeight="1" x14ac:dyDescent="0.35">
      <c r="A154">
        <v>16</v>
      </c>
      <c r="B154">
        <v>50</v>
      </c>
      <c r="C154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Master'!$F:$F,B154),"")</f>
        <v>142</v>
      </c>
      <c r="D154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Master'!$F:$F,B154),"")</f>
        <v>0.82</v>
      </c>
      <c r="E154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Master'!$F:$F,B154),"")</f>
        <v>0.82</v>
      </c>
      <c r="F154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Master'!$F:$F,B154),"")</f>
        <v>7.8E-2</v>
      </c>
      <c r="G154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Master'!$F:$F,B154),"")</f>
        <v>143</v>
      </c>
      <c r="H154">
        <f>IF(AND(ISNUMBER(C154),C154&gt;='Bulk Calculator'!U16/('Bulk Calculator'!J16*'Bulk Calculator'!L16)),1,0)</f>
        <v>1</v>
      </c>
      <c r="I154">
        <f>IFERROR(IF(AND(ISNUMBER(E154),ISNUMBER(F154),E154&gt;0,F154&gt;0),SQRT(3)*'Bulk Calculator'!O16*'Bulk Calculator'!AA16*((E154*'Bulk Calculator'!Q16)+(F154*SQRT(1-'Bulk Calculator'!Q16^2)))/'Bulk Calculator'!J16/'Bulk Calculator'!K16*100,D154*'Bulk Calculator'!AA16*'Bulk Calculator'!O16/'Bulk Calculator'!J16/'Bulk Calculator'!K16*100),"")</f>
        <v>1.2293869243304843E-4</v>
      </c>
      <c r="J154">
        <f>IFERROR(IF(AND(ISNUMBER(E154),ISNUMBER(F154),E154&gt;0,F154&gt;0),SQRT(3)*'Bulk Calculator'!O16*'Bulk Calculator'!U16*((E154*'Bulk Calculator'!M16)+(F154*SQRT(1-'Bulk Calculator'!M16^2)))/'Bulk Calculator'!J16/'Bulk Calculator'!K16*100,D154*'Bulk Calculator'!U16*'Bulk Calculator'!O16/'Bulk Calculator'!J16/'Bulk Calculator'!K16*100),"")</f>
        <v>1.797739407430598E-4</v>
      </c>
      <c r="K154">
        <f>IFERROR(G154*B154*'Bulk Calculator'!J16/SQRT('Bulk Calculator'!S16)/1000,"")</f>
        <v>15.987886039123497</v>
      </c>
      <c r="L154">
        <f>IF(OR('Bulk Calculator'!R16="",'Bulk Calculator'!S16="",G154=""),0,IF(K154&gt;='Bulk Calculator'!R16,1,0))</f>
        <v>1</v>
      </c>
      <c r="M154">
        <f>IF(AND(H154=1,I154&lt;='OS-DORAEN'!$B$6,J154&lt;='OS-DORAEN'!$B$5,L154=1),1,0)</f>
        <v>1</v>
      </c>
      <c r="N154" t="str">
        <f t="shared" si="2"/>
        <v>R/X</v>
      </c>
    </row>
    <row r="155" spans="1:14" ht="15" customHeight="1" x14ac:dyDescent="0.35">
      <c r="A155">
        <v>16</v>
      </c>
      <c r="B155">
        <v>35</v>
      </c>
      <c r="C155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Master'!$F:$F,B155),"")</f>
        <v>117</v>
      </c>
      <c r="D155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Master'!$F:$F,B155),"")</f>
        <v>1.1100000000000001</v>
      </c>
      <c r="E155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Master'!$F:$F,B155),"")</f>
        <v>1.1100000000000001</v>
      </c>
      <c r="F155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Master'!$F:$F,B155),"")</f>
        <v>0.08</v>
      </c>
      <c r="G155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Master'!$F:$F,B155),"")</f>
        <v>143</v>
      </c>
      <c r="H155">
        <f>IF(AND(ISNUMBER(C155),C155&gt;='Bulk Calculator'!U16/('Bulk Calculator'!J16*'Bulk Calculator'!L16)),1,0)</f>
        <v>1</v>
      </c>
      <c r="I155">
        <f>IFERROR(IF(AND(ISNUMBER(E155),ISNUMBER(F155),E155&gt;0,F155&gt;0),SQRT(3)*'Bulk Calculator'!O16*'Bulk Calculator'!AA16*((E155*'Bulk Calculator'!Q16)+(F155*SQRT(1-'Bulk Calculator'!Q16^2)))/'Bulk Calculator'!J16/'Bulk Calculator'!K16*100,D155*'Bulk Calculator'!AA16*'Bulk Calculator'!O16/'Bulk Calculator'!J16/'Bulk Calculator'!K16*100),"")</f>
        <v>1.5705220907416022E-4</v>
      </c>
      <c r="J155">
        <f>IFERROR(IF(AND(ISNUMBER(E155),ISNUMBER(F155),E155&gt;0,F155&gt;0),SQRT(3)*'Bulk Calculator'!O16*'Bulk Calculator'!U16*((E155*'Bulk Calculator'!M16)+(F155*SQRT(1-'Bulk Calculator'!M16^2)))/'Bulk Calculator'!J16/'Bulk Calculator'!K16*100,D155*'Bulk Calculator'!U16*'Bulk Calculator'!O16/'Bulk Calculator'!J16/'Bulk Calculator'!K16*100),"")</f>
        <v>2.3942573781375077E-4</v>
      </c>
      <c r="K155">
        <f>IFERROR(G155*B155*'Bulk Calculator'!J16/SQRT('Bulk Calculator'!S16)/1000,"")</f>
        <v>11.191520227386446</v>
      </c>
      <c r="L155">
        <f>IF(OR('Bulk Calculator'!R16="",'Bulk Calculator'!S16="",G155=""),0,IF(K155&gt;='Bulk Calculator'!R16,1,0))</f>
        <v>1</v>
      </c>
      <c r="M155">
        <f>IF(AND(H155=1,I155&lt;='OS-DORAEN'!$B$6,J155&lt;='OS-DORAEN'!$B$5,L155=1),1,0)</f>
        <v>1</v>
      </c>
      <c r="N155" t="str">
        <f t="shared" si="2"/>
        <v>R/X</v>
      </c>
    </row>
    <row r="156" spans="1:14" ht="15" customHeight="1" x14ac:dyDescent="0.35">
      <c r="A156">
        <v>16</v>
      </c>
      <c r="B156">
        <v>25</v>
      </c>
      <c r="C156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Master'!$F:$F,B156),"")</f>
        <v>96</v>
      </c>
      <c r="D156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Master'!$F:$F,B156),"")</f>
        <v>1.54</v>
      </c>
      <c r="E156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Master'!$F:$F,B156),"")</f>
        <v>1.54</v>
      </c>
      <c r="F156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Master'!$F:$F,B156),"")</f>
        <v>0.08</v>
      </c>
      <c r="G156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Master'!$F:$F,B156),"")</f>
        <v>143</v>
      </c>
      <c r="H156">
        <f>IF(AND(ISNUMBER(C156),C156&gt;='Bulk Calculator'!U16/('Bulk Calculator'!J16*'Bulk Calculator'!L16)),1,0)</f>
        <v>1</v>
      </c>
      <c r="I156">
        <f>IFERROR(IF(AND(ISNUMBER(E156),ISNUMBER(F156),E156&gt;0,F156&gt;0),SQRT(3)*'Bulk Calculator'!O16*'Bulk Calculator'!AA16*((E156*'Bulk Calculator'!Q16)+(F156*SQRT(1-'Bulk Calculator'!Q16^2)))/'Bulk Calculator'!J16/'Bulk Calculator'!K16*100,D156*'Bulk Calculator'!AA16*'Bulk Calculator'!O16/'Bulk Calculator'!J16/'Bulk Calculator'!K16*100),"")</f>
        <v>2.0654887602604134E-4</v>
      </c>
      <c r="J156">
        <f>IFERROR(IF(AND(ISNUMBER(E156),ISNUMBER(F156),E156&gt;0,F156&gt;0),SQRT(3)*'Bulk Calculator'!O16*'Bulk Calculator'!U16*((E156*'Bulk Calculator'!M16)+(F156*SQRT(1-'Bulk Calculator'!M16^2)))/'Bulk Calculator'!J16/'Bulk Calculator'!K16*100,D156*'Bulk Calculator'!U16*'Bulk Calculator'!O16/'Bulk Calculator'!J16/'Bulk Calculator'!K16*100),"")</f>
        <v>3.274198123948728E-4</v>
      </c>
      <c r="K156">
        <f>IFERROR(G156*B156*'Bulk Calculator'!J16/SQRT('Bulk Calculator'!S16)/1000,"")</f>
        <v>7.9939430195617485</v>
      </c>
      <c r="L156">
        <f>IF(OR('Bulk Calculator'!R16="",'Bulk Calculator'!S16="",G156=""),0,IF(K156&gt;='Bulk Calculator'!R16,1,0))</f>
        <v>1</v>
      </c>
      <c r="M156">
        <f>IF(AND(H156=1,I156&lt;='OS-DORAEN'!$B$6,J156&lt;='OS-DORAEN'!$B$5,L156=1),1,0)</f>
        <v>1</v>
      </c>
      <c r="N156" t="str">
        <f t="shared" si="2"/>
        <v>R/X</v>
      </c>
    </row>
    <row r="157" spans="1:14" ht="15" customHeight="1" x14ac:dyDescent="0.35">
      <c r="A157">
        <v>16</v>
      </c>
      <c r="B157">
        <v>16</v>
      </c>
      <c r="C157">
        <f>IFERROR(SUMIFS('Cable Data Master'!$G:$G,'Cable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Master'!$F:$F,B157),"")</f>
        <v>0</v>
      </c>
      <c r="D157">
        <f>IFERROR(SUMIFS('Cable Data Master'!$K:$K,'Cable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Master'!$F:$F,B157),"")</f>
        <v>0</v>
      </c>
      <c r="E157">
        <f>IFERROR(SUMIFS('Cable Data Master'!$H:$H,'Cable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Master'!$F:$F,B157),"")</f>
        <v>0</v>
      </c>
      <c r="F157">
        <f>IFERROR(SUMIFS('Cable Data Master'!$I:$I,'Cable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Master'!$F:$F,B157),"")</f>
        <v>0</v>
      </c>
      <c r="G157">
        <f>IFERROR(SUMIFS('Cable Data Master'!$J:$J,'Cable Data Master'!$A:$A,'Bulk Calculator'!$BF16,'Cable Data Master'!$B:$B,'Bulk Calculator'!$BG16,'Cable Data Master'!$C:$C,'Bulk Calculator'!$BH16,'Cable Data Master'!$D:$D,'Bulk Calculator'!$BI16,'Cable Data Master'!$E:$E,'Bulk Calculator'!$BJ16,'Cable Data Master'!$F:$F,B157),"")</f>
        <v>0</v>
      </c>
      <c r="H157">
        <f>IF(AND(ISNUMBER(C157),C157&gt;='Bulk Calculator'!U16/('Bulk Calculator'!J16*'Bulk Calculator'!L16)),1,0)</f>
        <v>0</v>
      </c>
      <c r="I157">
        <f>IFERROR(IF(AND(ISNUMBER(E157),ISNUMBER(F157),E157&gt;0,F157&gt;0),SQRT(3)*'Bulk Calculator'!O16*'Bulk Calculator'!AA16*((E157*'Bulk Calculator'!Q16)+(F157*SQRT(1-'Bulk Calculator'!Q16^2)))/'Bulk Calculator'!J16/'Bulk Calculator'!K16*100,D157*'Bulk Calculator'!AA16*'Bulk Calculator'!O16/'Bulk Calculator'!J16/'Bulk Calculator'!K16*100),"")</f>
        <v>0</v>
      </c>
      <c r="J157">
        <f>IFERROR(IF(AND(ISNUMBER(E157),ISNUMBER(F157),E157&gt;0,F157&gt;0),SQRT(3)*'Bulk Calculator'!O16*'Bulk Calculator'!U16*((E157*'Bulk Calculator'!M16)+(F157*SQRT(1-'Bulk Calculator'!M16^2)))/'Bulk Calculator'!J16/'Bulk Calculator'!K16*100,D157*'Bulk Calculator'!U16*'Bulk Calculator'!O16/'Bulk Calculator'!J16/'Bulk Calculator'!K16*100),"")</f>
        <v>0</v>
      </c>
      <c r="K157">
        <f>IFERROR(G157*B157*'Bulk Calculator'!J16/SQRT('Bulk Calculator'!S16)/1000,"")</f>
        <v>0</v>
      </c>
      <c r="L157">
        <f>IF(OR('Bulk Calculator'!R16="",'Bulk Calculator'!S16="",G157=""),0,IF(K157&gt;='Bulk Calculator'!R16,1,0))</f>
        <v>0</v>
      </c>
      <c r="M157">
        <f>IF(AND(H157=1,I157&lt;='OS-DORAEN'!$B$6,J157&lt;='OS-DORAEN'!$B$5,L157=1),1,0)</f>
        <v>0</v>
      </c>
      <c r="N157" t="str">
        <f t="shared" si="2"/>
        <v>Manufacturer VD Ref</v>
      </c>
    </row>
    <row r="158" spans="1:14" ht="15" customHeight="1" x14ac:dyDescent="0.35">
      <c r="A158">
        <v>17</v>
      </c>
      <c r="B158">
        <v>400</v>
      </c>
      <c r="C158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Master'!$F:$F,B158),"")</f>
        <v>530</v>
      </c>
      <c r="D158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Master'!$F:$F,B158),"")</f>
        <v>0.1023</v>
      </c>
      <c r="E158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Master'!$F:$F,B158),"")</f>
        <v>0.1023</v>
      </c>
      <c r="F158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Master'!$F:$F,B158),"")</f>
        <v>7.0000000000000007E-2</v>
      </c>
      <c r="G158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Master'!$F:$F,B158),"")</f>
        <v>143</v>
      </c>
      <c r="H158">
        <f>IF(AND(ISNUMBER(C158),C158&gt;='Bulk Calculator'!U17/('Bulk Calculator'!J17*'Bulk Calculator'!L17)),1,0)</f>
        <v>1</v>
      </c>
      <c r="I158">
        <f>IFERROR(IF(AND(ISNUMBER(E158),ISNUMBER(F158),E158&gt;0,F158&gt;0),SQRT(3)*'Bulk Calculator'!O17*'Bulk Calculator'!AA17*((E158*'Bulk Calculator'!Q17)+(F158*SQRT(1-'Bulk Calculator'!Q17^2)))/'Bulk Calculator'!J17/'Bulk Calculator'!K17*100,D158*'Bulk Calculator'!AA17*'Bulk Calculator'!O17/'Bulk Calculator'!J17/'Bulk Calculator'!K17*100),"")</f>
        <v>0</v>
      </c>
      <c r="J158">
        <f>IFERROR(IF(AND(ISNUMBER(E158),ISNUMBER(F158),E158&gt;0,F158&gt;0),SQRT(3)*'Bulk Calculator'!O17*'Bulk Calculator'!U17*((E158*'Bulk Calculator'!M17)+(F158*SQRT(1-'Bulk Calculator'!M17^2)))/'Bulk Calculator'!J17/'Bulk Calculator'!K17*100,D158*'Bulk Calculator'!U17*'Bulk Calculator'!O17/'Bulk Calculator'!J17/'Bulk Calculator'!K17*100),"")</f>
        <v>0</v>
      </c>
      <c r="K158">
        <f>IFERROR(G158*B158*'Bulk Calculator'!J17/SQRT('Bulk Calculator'!S17)/1000,"")</f>
        <v>127.90308831298798</v>
      </c>
      <c r="L158">
        <f>IF(OR('Bulk Calculator'!R17="",'Bulk Calculator'!S17="",G158=""),0,IF(K158&gt;='Bulk Calculator'!R17,1,0))</f>
        <v>1</v>
      </c>
      <c r="M158">
        <f>IF(AND(H158=1,I158&lt;='OS-DORAEN'!$B$6,J158&lt;='OS-DORAEN'!$B$5,L158=1),1,0)</f>
        <v>1</v>
      </c>
      <c r="N158" t="str">
        <f t="shared" si="2"/>
        <v>R/X</v>
      </c>
    </row>
    <row r="159" spans="1:14" ht="15" customHeight="1" x14ac:dyDescent="0.35">
      <c r="A159">
        <v>17</v>
      </c>
      <c r="B159">
        <v>300</v>
      </c>
      <c r="C159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Master'!$F:$F,B159),"")</f>
        <v>455</v>
      </c>
      <c r="D159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Master'!$F:$F,B159),"")</f>
        <v>0.13</v>
      </c>
      <c r="E159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Master'!$F:$F,B159),"")</f>
        <v>0.13</v>
      </c>
      <c r="F159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Master'!$F:$F,B159),"")</f>
        <v>7.0999999999999994E-2</v>
      </c>
      <c r="G159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Master'!$F:$F,B159),"")</f>
        <v>143</v>
      </c>
      <c r="H159">
        <f>IF(AND(ISNUMBER(C159),C159&gt;='Bulk Calculator'!U17/('Bulk Calculator'!J17*'Bulk Calculator'!L17)),1,0)</f>
        <v>1</v>
      </c>
      <c r="I159">
        <f>IFERROR(IF(AND(ISNUMBER(E159),ISNUMBER(F159),E159&gt;0,F159&gt;0),SQRT(3)*'Bulk Calculator'!O17*'Bulk Calculator'!AA17*((E159*'Bulk Calculator'!Q17)+(F159*SQRT(1-'Bulk Calculator'!Q17^2)))/'Bulk Calculator'!J17/'Bulk Calculator'!K17*100,D159*'Bulk Calculator'!AA17*'Bulk Calculator'!O17/'Bulk Calculator'!J17/'Bulk Calculator'!K17*100),"")</f>
        <v>0</v>
      </c>
      <c r="J159">
        <f>IFERROR(IF(AND(ISNUMBER(E159),ISNUMBER(F159),E159&gt;0,F159&gt;0),SQRT(3)*'Bulk Calculator'!O17*'Bulk Calculator'!U17*((E159*'Bulk Calculator'!M17)+(F159*SQRT(1-'Bulk Calculator'!M17^2)))/'Bulk Calculator'!J17/'Bulk Calculator'!K17*100,D159*'Bulk Calculator'!U17*'Bulk Calculator'!O17/'Bulk Calculator'!J17/'Bulk Calculator'!K17*100),"")</f>
        <v>0</v>
      </c>
      <c r="K159">
        <f>IFERROR(G159*B159*'Bulk Calculator'!J17/SQRT('Bulk Calculator'!S17)/1000,"")</f>
        <v>95.927316234740985</v>
      </c>
      <c r="L159">
        <f>IF(OR('Bulk Calculator'!R17="",'Bulk Calculator'!S17="",G159=""),0,IF(K159&gt;='Bulk Calculator'!R17,1,0))</f>
        <v>1</v>
      </c>
      <c r="M159">
        <f>IF(AND(H159=1,I159&lt;='OS-DORAEN'!$B$6,J159&lt;='OS-DORAEN'!$B$5,L159=1),1,0)</f>
        <v>1</v>
      </c>
      <c r="N159" t="str">
        <f t="shared" si="2"/>
        <v>R/X</v>
      </c>
    </row>
    <row r="160" spans="1:14" ht="15" customHeight="1" x14ac:dyDescent="0.35">
      <c r="A160">
        <v>17</v>
      </c>
      <c r="B160">
        <v>240</v>
      </c>
      <c r="C160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Master'!$F:$F,B160),"")</f>
        <v>399</v>
      </c>
      <c r="D160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Master'!$F:$F,B160),"")</f>
        <v>0.16200000000000001</v>
      </c>
      <c r="E160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Master'!$F:$F,B160),"")</f>
        <v>0.16200000000000001</v>
      </c>
      <c r="F160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Master'!$F:$F,B160),"")</f>
        <v>7.1999999999999995E-2</v>
      </c>
      <c r="G160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Master'!$F:$F,B160),"")</f>
        <v>143</v>
      </c>
      <c r="H160">
        <f>IF(AND(ISNUMBER(C160),C160&gt;='Bulk Calculator'!U17/('Bulk Calculator'!J17*'Bulk Calculator'!L17)),1,0)</f>
        <v>1</v>
      </c>
      <c r="I160">
        <f>IFERROR(IF(AND(ISNUMBER(E160),ISNUMBER(F160),E160&gt;0,F160&gt;0),SQRT(3)*'Bulk Calculator'!O17*'Bulk Calculator'!AA17*((E160*'Bulk Calculator'!Q17)+(F160*SQRT(1-'Bulk Calculator'!Q17^2)))/'Bulk Calculator'!J17/'Bulk Calculator'!K17*100,D160*'Bulk Calculator'!AA17*'Bulk Calculator'!O17/'Bulk Calculator'!J17/'Bulk Calculator'!K17*100),"")</f>
        <v>0</v>
      </c>
      <c r="J160">
        <f>IFERROR(IF(AND(ISNUMBER(E160),ISNUMBER(F160),E160&gt;0,F160&gt;0),SQRT(3)*'Bulk Calculator'!O17*'Bulk Calculator'!U17*((E160*'Bulk Calculator'!M17)+(F160*SQRT(1-'Bulk Calculator'!M17^2)))/'Bulk Calculator'!J17/'Bulk Calculator'!K17*100,D160*'Bulk Calculator'!U17*'Bulk Calculator'!O17/'Bulk Calculator'!J17/'Bulk Calculator'!K17*100),"")</f>
        <v>0</v>
      </c>
      <c r="K160">
        <f>IFERROR(G160*B160*'Bulk Calculator'!J17/SQRT('Bulk Calculator'!S17)/1000,"")</f>
        <v>76.741852987792782</v>
      </c>
      <c r="L160">
        <f>IF(OR('Bulk Calculator'!R17="",'Bulk Calculator'!S17="",G160=""),0,IF(K160&gt;='Bulk Calculator'!R17,1,0))</f>
        <v>1</v>
      </c>
      <c r="M160">
        <f>IF(AND(H160=1,I160&lt;='OS-DORAEN'!$B$6,J160&lt;='OS-DORAEN'!$B$5,L160=1),1,0)</f>
        <v>1</v>
      </c>
      <c r="N160" t="str">
        <f t="shared" si="2"/>
        <v>R/X</v>
      </c>
    </row>
    <row r="161" spans="1:14" ht="15" customHeight="1" x14ac:dyDescent="0.35">
      <c r="A161">
        <v>17</v>
      </c>
      <c r="B161">
        <v>185</v>
      </c>
      <c r="C161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Master'!$F:$F,B161),"")</f>
        <v>337</v>
      </c>
      <c r="D161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Master'!$F:$F,B161),"")</f>
        <v>0.21099999999999999</v>
      </c>
      <c r="E161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Master'!$F:$F,B161),"")</f>
        <v>0.21099999999999999</v>
      </c>
      <c r="F161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Master'!$F:$F,B161),"")</f>
        <v>7.1999999999999995E-2</v>
      </c>
      <c r="G161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Master'!$F:$F,B161),"")</f>
        <v>143</v>
      </c>
      <c r="H161">
        <f>IF(AND(ISNUMBER(C161),C161&gt;='Bulk Calculator'!U17/('Bulk Calculator'!J17*'Bulk Calculator'!L17)),1,0)</f>
        <v>1</v>
      </c>
      <c r="I161">
        <f>IFERROR(IF(AND(ISNUMBER(E161),ISNUMBER(F161),E161&gt;0,F161&gt;0),SQRT(3)*'Bulk Calculator'!O17*'Bulk Calculator'!AA17*((E161*'Bulk Calculator'!Q17)+(F161*SQRT(1-'Bulk Calculator'!Q17^2)))/'Bulk Calculator'!J17/'Bulk Calculator'!K17*100,D161*'Bulk Calculator'!AA17*'Bulk Calculator'!O17/'Bulk Calculator'!J17/'Bulk Calculator'!K17*100),"")</f>
        <v>0</v>
      </c>
      <c r="J161">
        <f>IFERROR(IF(AND(ISNUMBER(E161),ISNUMBER(F161),E161&gt;0,F161&gt;0),SQRT(3)*'Bulk Calculator'!O17*'Bulk Calculator'!U17*((E161*'Bulk Calculator'!M17)+(F161*SQRT(1-'Bulk Calculator'!M17^2)))/'Bulk Calculator'!J17/'Bulk Calculator'!K17*100,D161*'Bulk Calculator'!U17*'Bulk Calculator'!O17/'Bulk Calculator'!J17/'Bulk Calculator'!K17*100),"")</f>
        <v>0</v>
      </c>
      <c r="K161">
        <f>IFERROR(G161*B161*'Bulk Calculator'!J17/SQRT('Bulk Calculator'!S17)/1000,"")</f>
        <v>59.155178344756941</v>
      </c>
      <c r="L161">
        <f>IF(OR('Bulk Calculator'!R17="",'Bulk Calculator'!S17="",G161=""),0,IF(K161&gt;='Bulk Calculator'!R17,1,0))</f>
        <v>1</v>
      </c>
      <c r="M161">
        <f>IF(AND(H161=1,I161&lt;='OS-DORAEN'!$B$6,J161&lt;='OS-DORAEN'!$B$5,L161=1),1,0)</f>
        <v>1</v>
      </c>
      <c r="N161" t="str">
        <f t="shared" si="2"/>
        <v>R/X</v>
      </c>
    </row>
    <row r="162" spans="1:14" ht="15" customHeight="1" x14ac:dyDescent="0.35">
      <c r="A162">
        <v>17</v>
      </c>
      <c r="B162">
        <v>150</v>
      </c>
      <c r="C162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Master'!$F:$F,B162),"")</f>
        <v>292</v>
      </c>
      <c r="D162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Master'!$F:$F,B162),"")</f>
        <v>0.26500000000000001</v>
      </c>
      <c r="E162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Master'!$F:$F,B162),"")</f>
        <v>0.26500000000000001</v>
      </c>
      <c r="F162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Master'!$F:$F,B162),"")</f>
        <v>7.1999999999999995E-2</v>
      </c>
      <c r="G162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Master'!$F:$F,B162),"")</f>
        <v>143</v>
      </c>
      <c r="H162">
        <f>IF(AND(ISNUMBER(C162),C162&gt;='Bulk Calculator'!U17/('Bulk Calculator'!J17*'Bulk Calculator'!L17)),1,0)</f>
        <v>1</v>
      </c>
      <c r="I162">
        <f>IFERROR(IF(AND(ISNUMBER(E162),ISNUMBER(F162),E162&gt;0,F162&gt;0),SQRT(3)*'Bulk Calculator'!O17*'Bulk Calculator'!AA17*((E162*'Bulk Calculator'!Q17)+(F162*SQRT(1-'Bulk Calculator'!Q17^2)))/'Bulk Calculator'!J17/'Bulk Calculator'!K17*100,D162*'Bulk Calculator'!AA17*'Bulk Calculator'!O17/'Bulk Calculator'!J17/'Bulk Calculator'!K17*100),"")</f>
        <v>0</v>
      </c>
      <c r="J162">
        <f>IFERROR(IF(AND(ISNUMBER(E162),ISNUMBER(F162),E162&gt;0,F162&gt;0),SQRT(3)*'Bulk Calculator'!O17*'Bulk Calculator'!U17*((E162*'Bulk Calculator'!M17)+(F162*SQRT(1-'Bulk Calculator'!M17^2)))/'Bulk Calculator'!J17/'Bulk Calculator'!K17*100,D162*'Bulk Calculator'!U17*'Bulk Calculator'!O17/'Bulk Calculator'!J17/'Bulk Calculator'!K17*100),"")</f>
        <v>0</v>
      </c>
      <c r="K162">
        <f>IFERROR(G162*B162*'Bulk Calculator'!J17/SQRT('Bulk Calculator'!S17)/1000,"")</f>
        <v>47.963658117370493</v>
      </c>
      <c r="L162">
        <f>IF(OR('Bulk Calculator'!R17="",'Bulk Calculator'!S17="",G162=""),0,IF(K162&gt;='Bulk Calculator'!R17,1,0))</f>
        <v>1</v>
      </c>
      <c r="M162">
        <f>IF(AND(H162=1,I162&lt;='OS-DORAEN'!$B$6,J162&lt;='OS-DORAEN'!$B$5,L162=1),1,0)</f>
        <v>1</v>
      </c>
      <c r="N162" t="str">
        <f t="shared" si="2"/>
        <v>R/X</v>
      </c>
    </row>
    <row r="163" spans="1:14" ht="15" customHeight="1" x14ac:dyDescent="0.35">
      <c r="A163">
        <v>17</v>
      </c>
      <c r="B163">
        <v>120</v>
      </c>
      <c r="C163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Master'!$F:$F,B163),"")</f>
        <v>257</v>
      </c>
      <c r="D163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Master'!$F:$F,B163),"")</f>
        <v>0.32500000000000001</v>
      </c>
      <c r="E163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Master'!$F:$F,B163),"")</f>
        <v>0.32500000000000001</v>
      </c>
      <c r="F163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Master'!$F:$F,B163),"")</f>
        <v>7.1999999999999995E-2</v>
      </c>
      <c r="G163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Master'!$F:$F,B163),"")</f>
        <v>143</v>
      </c>
      <c r="H163">
        <f>IF(AND(ISNUMBER(C163),C163&gt;='Bulk Calculator'!U17/('Bulk Calculator'!J17*'Bulk Calculator'!L17)),1,0)</f>
        <v>1</v>
      </c>
      <c r="I163">
        <f>IFERROR(IF(AND(ISNUMBER(E163),ISNUMBER(F163),E163&gt;0,F163&gt;0),SQRT(3)*'Bulk Calculator'!O17*'Bulk Calculator'!AA17*((E163*'Bulk Calculator'!Q17)+(F163*SQRT(1-'Bulk Calculator'!Q17^2)))/'Bulk Calculator'!J17/'Bulk Calculator'!K17*100,D163*'Bulk Calculator'!AA17*'Bulk Calculator'!O17/'Bulk Calculator'!J17/'Bulk Calculator'!K17*100),"")</f>
        <v>0</v>
      </c>
      <c r="J163">
        <f>IFERROR(IF(AND(ISNUMBER(E163),ISNUMBER(F163),E163&gt;0,F163&gt;0),SQRT(3)*'Bulk Calculator'!O17*'Bulk Calculator'!U17*((E163*'Bulk Calculator'!M17)+(F163*SQRT(1-'Bulk Calculator'!M17^2)))/'Bulk Calculator'!J17/'Bulk Calculator'!K17*100,D163*'Bulk Calculator'!U17*'Bulk Calculator'!O17/'Bulk Calculator'!J17/'Bulk Calculator'!K17*100),"")</f>
        <v>0</v>
      </c>
      <c r="K163">
        <f>IFERROR(G163*B163*'Bulk Calculator'!J17/SQRT('Bulk Calculator'!S17)/1000,"")</f>
        <v>38.370926493896391</v>
      </c>
      <c r="L163">
        <f>IF(OR('Bulk Calculator'!R17="",'Bulk Calculator'!S17="",G163=""),0,IF(K163&gt;='Bulk Calculator'!R17,1,0))</f>
        <v>1</v>
      </c>
      <c r="M163">
        <f>IF(AND(H163=1,I163&lt;='OS-DORAEN'!$B$6,J163&lt;='OS-DORAEN'!$B$5,L163=1),1,0)</f>
        <v>1</v>
      </c>
      <c r="N163" t="str">
        <f t="shared" si="2"/>
        <v>R/X</v>
      </c>
    </row>
    <row r="164" spans="1:14" ht="15" customHeight="1" x14ac:dyDescent="0.35">
      <c r="A164">
        <v>17</v>
      </c>
      <c r="B164">
        <v>95</v>
      </c>
      <c r="C164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Master'!$F:$F,B164),"")</f>
        <v>221</v>
      </c>
      <c r="D164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Master'!$F:$F,B164),"")</f>
        <v>0.41</v>
      </c>
      <c r="E164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Master'!$F:$F,B164),"")</f>
        <v>0.41</v>
      </c>
      <c r="F164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Master'!$F:$F,B164),"")</f>
        <v>7.3999999999999996E-2</v>
      </c>
      <c r="G164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Master'!$F:$F,B164),"")</f>
        <v>143</v>
      </c>
      <c r="H164">
        <f>IF(AND(ISNUMBER(C164),C164&gt;='Bulk Calculator'!U17/('Bulk Calculator'!J17*'Bulk Calculator'!L17)),1,0)</f>
        <v>1</v>
      </c>
      <c r="I164">
        <f>IFERROR(IF(AND(ISNUMBER(E164),ISNUMBER(F164),E164&gt;0,F164&gt;0),SQRT(3)*'Bulk Calculator'!O17*'Bulk Calculator'!AA17*((E164*'Bulk Calculator'!Q17)+(F164*SQRT(1-'Bulk Calculator'!Q17^2)))/'Bulk Calculator'!J17/'Bulk Calculator'!K17*100,D164*'Bulk Calculator'!AA17*'Bulk Calculator'!O17/'Bulk Calculator'!J17/'Bulk Calculator'!K17*100),"")</f>
        <v>0</v>
      </c>
      <c r="J164">
        <f>IFERROR(IF(AND(ISNUMBER(E164),ISNUMBER(F164),E164&gt;0,F164&gt;0),SQRT(3)*'Bulk Calculator'!O17*'Bulk Calculator'!U17*((E164*'Bulk Calculator'!M17)+(F164*SQRT(1-'Bulk Calculator'!M17^2)))/'Bulk Calculator'!J17/'Bulk Calculator'!K17*100,D164*'Bulk Calculator'!U17*'Bulk Calculator'!O17/'Bulk Calculator'!J17/'Bulk Calculator'!K17*100),"")</f>
        <v>0</v>
      </c>
      <c r="K164">
        <f>IFERROR(G164*B164*'Bulk Calculator'!J17/SQRT('Bulk Calculator'!S17)/1000,"")</f>
        <v>30.376983474334644</v>
      </c>
      <c r="L164">
        <f>IF(OR('Bulk Calculator'!R17="",'Bulk Calculator'!S17="",G164=""),0,IF(K164&gt;='Bulk Calculator'!R17,1,0))</f>
        <v>1</v>
      </c>
      <c r="M164">
        <f>IF(AND(H164=1,I164&lt;='OS-DORAEN'!$B$6,J164&lt;='OS-DORAEN'!$B$5,L164=1),1,0)</f>
        <v>1</v>
      </c>
      <c r="N164" t="str">
        <f t="shared" si="2"/>
        <v>R/X</v>
      </c>
    </row>
    <row r="165" spans="1:14" ht="15" customHeight="1" x14ac:dyDescent="0.35">
      <c r="A165">
        <v>17</v>
      </c>
      <c r="B165">
        <v>70</v>
      </c>
      <c r="C165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Master'!$F:$F,B165),"")</f>
        <v>179</v>
      </c>
      <c r="D165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Master'!$F:$F,B165),"")</f>
        <v>0.56699999999999995</v>
      </c>
      <c r="E165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Master'!$F:$F,B165),"")</f>
        <v>0.56699999999999995</v>
      </c>
      <c r="F165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Master'!$F:$F,B165),"")</f>
        <v>7.6999999999999999E-2</v>
      </c>
      <c r="G165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Master'!$F:$F,B165),"")</f>
        <v>143</v>
      </c>
      <c r="H165">
        <f>IF(AND(ISNUMBER(C165),C165&gt;='Bulk Calculator'!U17/('Bulk Calculator'!J17*'Bulk Calculator'!L17)),1,0)</f>
        <v>1</v>
      </c>
      <c r="I165">
        <f>IFERROR(IF(AND(ISNUMBER(E165),ISNUMBER(F165),E165&gt;0,F165&gt;0),SQRT(3)*'Bulk Calculator'!O17*'Bulk Calculator'!AA17*((E165*'Bulk Calculator'!Q17)+(F165*SQRT(1-'Bulk Calculator'!Q17^2)))/'Bulk Calculator'!J17/'Bulk Calculator'!K17*100,D165*'Bulk Calculator'!AA17*'Bulk Calculator'!O17/'Bulk Calculator'!J17/'Bulk Calculator'!K17*100),"")</f>
        <v>0</v>
      </c>
      <c r="J165">
        <f>IFERROR(IF(AND(ISNUMBER(E165),ISNUMBER(F165),E165&gt;0,F165&gt;0),SQRT(3)*'Bulk Calculator'!O17*'Bulk Calculator'!U17*((E165*'Bulk Calculator'!M17)+(F165*SQRT(1-'Bulk Calculator'!M17^2)))/'Bulk Calculator'!J17/'Bulk Calculator'!K17*100,D165*'Bulk Calculator'!U17*'Bulk Calculator'!O17/'Bulk Calculator'!J17/'Bulk Calculator'!K17*100),"")</f>
        <v>0</v>
      </c>
      <c r="K165">
        <f>IFERROR(G165*B165*'Bulk Calculator'!J17/SQRT('Bulk Calculator'!S17)/1000,"")</f>
        <v>22.383040454772893</v>
      </c>
      <c r="L165">
        <f>IF(OR('Bulk Calculator'!R17="",'Bulk Calculator'!S17="",G165=""),0,IF(K165&gt;='Bulk Calculator'!R17,1,0))</f>
        <v>1</v>
      </c>
      <c r="M165">
        <f>IF(AND(H165=1,I165&lt;='OS-DORAEN'!$B$6,J165&lt;='OS-DORAEN'!$B$5,L165=1),1,0)</f>
        <v>1</v>
      </c>
      <c r="N165" t="str">
        <f t="shared" si="2"/>
        <v>R/X</v>
      </c>
    </row>
    <row r="166" spans="1:14" ht="15" customHeight="1" x14ac:dyDescent="0.35">
      <c r="A166">
        <v>17</v>
      </c>
      <c r="B166">
        <v>50</v>
      </c>
      <c r="C166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Master'!$F:$F,B166),"")</f>
        <v>142</v>
      </c>
      <c r="D166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Master'!$F:$F,B166),"")</f>
        <v>0.82</v>
      </c>
      <c r="E166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Master'!$F:$F,B166),"")</f>
        <v>0.82</v>
      </c>
      <c r="F166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Master'!$F:$F,B166),"")</f>
        <v>7.8E-2</v>
      </c>
      <c r="G166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Master'!$F:$F,B166),"")</f>
        <v>143</v>
      </c>
      <c r="H166">
        <f>IF(AND(ISNUMBER(C166),C166&gt;='Bulk Calculator'!U17/('Bulk Calculator'!J17*'Bulk Calculator'!L17)),1,0)</f>
        <v>1</v>
      </c>
      <c r="I166">
        <f>IFERROR(IF(AND(ISNUMBER(E166),ISNUMBER(F166),E166&gt;0,F166&gt;0),SQRT(3)*'Bulk Calculator'!O17*'Bulk Calculator'!AA17*((E166*'Bulk Calculator'!Q17)+(F166*SQRT(1-'Bulk Calculator'!Q17^2)))/'Bulk Calculator'!J17/'Bulk Calculator'!K17*100,D166*'Bulk Calculator'!AA17*'Bulk Calculator'!O17/'Bulk Calculator'!J17/'Bulk Calculator'!K17*100),"")</f>
        <v>0</v>
      </c>
      <c r="J166">
        <f>IFERROR(IF(AND(ISNUMBER(E166),ISNUMBER(F166),E166&gt;0,F166&gt;0),SQRT(3)*'Bulk Calculator'!O17*'Bulk Calculator'!U17*((E166*'Bulk Calculator'!M17)+(F166*SQRT(1-'Bulk Calculator'!M17^2)))/'Bulk Calculator'!J17/'Bulk Calculator'!K17*100,D166*'Bulk Calculator'!U17*'Bulk Calculator'!O17/'Bulk Calculator'!J17/'Bulk Calculator'!K17*100),"")</f>
        <v>0</v>
      </c>
      <c r="K166">
        <f>IFERROR(G166*B166*'Bulk Calculator'!J17/SQRT('Bulk Calculator'!S17)/1000,"")</f>
        <v>15.987886039123497</v>
      </c>
      <c r="L166">
        <f>IF(OR('Bulk Calculator'!R17="",'Bulk Calculator'!S17="",G166=""),0,IF(K166&gt;='Bulk Calculator'!R17,1,0))</f>
        <v>1</v>
      </c>
      <c r="M166">
        <f>IF(AND(H166=1,I166&lt;='OS-DORAEN'!$B$6,J166&lt;='OS-DORAEN'!$B$5,L166=1),1,0)</f>
        <v>1</v>
      </c>
      <c r="N166" t="str">
        <f t="shared" si="2"/>
        <v>R/X</v>
      </c>
    </row>
    <row r="167" spans="1:14" ht="15" customHeight="1" x14ac:dyDescent="0.35">
      <c r="A167">
        <v>17</v>
      </c>
      <c r="B167">
        <v>35</v>
      </c>
      <c r="C167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Master'!$F:$F,B167),"")</f>
        <v>117</v>
      </c>
      <c r="D167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Master'!$F:$F,B167),"")</f>
        <v>1.1100000000000001</v>
      </c>
      <c r="E167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Master'!$F:$F,B167),"")</f>
        <v>1.1100000000000001</v>
      </c>
      <c r="F167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Master'!$F:$F,B167),"")</f>
        <v>0.08</v>
      </c>
      <c r="G167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Master'!$F:$F,B167),"")</f>
        <v>143</v>
      </c>
      <c r="H167">
        <f>IF(AND(ISNUMBER(C167),C167&gt;='Bulk Calculator'!U17/('Bulk Calculator'!J17*'Bulk Calculator'!L17)),1,0)</f>
        <v>1</v>
      </c>
      <c r="I167">
        <f>IFERROR(IF(AND(ISNUMBER(E167),ISNUMBER(F167),E167&gt;0,F167&gt;0),SQRT(3)*'Bulk Calculator'!O17*'Bulk Calculator'!AA17*((E167*'Bulk Calculator'!Q17)+(F167*SQRT(1-'Bulk Calculator'!Q17^2)))/'Bulk Calculator'!J17/'Bulk Calculator'!K17*100,D167*'Bulk Calculator'!AA17*'Bulk Calculator'!O17/'Bulk Calculator'!J17/'Bulk Calculator'!K17*100),"")</f>
        <v>0</v>
      </c>
      <c r="J167">
        <f>IFERROR(IF(AND(ISNUMBER(E167),ISNUMBER(F167),E167&gt;0,F167&gt;0),SQRT(3)*'Bulk Calculator'!O17*'Bulk Calculator'!U17*((E167*'Bulk Calculator'!M17)+(F167*SQRT(1-'Bulk Calculator'!M17^2)))/'Bulk Calculator'!J17/'Bulk Calculator'!K17*100,D167*'Bulk Calculator'!U17*'Bulk Calculator'!O17/'Bulk Calculator'!J17/'Bulk Calculator'!K17*100),"")</f>
        <v>0</v>
      </c>
      <c r="K167">
        <f>IFERROR(G167*B167*'Bulk Calculator'!J17/SQRT('Bulk Calculator'!S17)/1000,"")</f>
        <v>11.191520227386446</v>
      </c>
      <c r="L167">
        <f>IF(OR('Bulk Calculator'!R17="",'Bulk Calculator'!S17="",G167=""),0,IF(K167&gt;='Bulk Calculator'!R17,1,0))</f>
        <v>1</v>
      </c>
      <c r="M167">
        <f>IF(AND(H167=1,I167&lt;='OS-DORAEN'!$B$6,J167&lt;='OS-DORAEN'!$B$5,L167=1),1,0)</f>
        <v>1</v>
      </c>
      <c r="N167" t="str">
        <f t="shared" si="2"/>
        <v>R/X</v>
      </c>
    </row>
    <row r="168" spans="1:14" ht="15" customHeight="1" x14ac:dyDescent="0.35">
      <c r="A168">
        <v>17</v>
      </c>
      <c r="B168">
        <v>25</v>
      </c>
      <c r="C168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Master'!$F:$F,B168),"")</f>
        <v>96</v>
      </c>
      <c r="D168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Master'!$F:$F,B168),"")</f>
        <v>1.54</v>
      </c>
      <c r="E168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Master'!$F:$F,B168),"")</f>
        <v>1.54</v>
      </c>
      <c r="F168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Master'!$F:$F,B168),"")</f>
        <v>0.08</v>
      </c>
      <c r="G168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Master'!$F:$F,B168),"")</f>
        <v>143</v>
      </c>
      <c r="H168">
        <f>IF(AND(ISNUMBER(C168),C168&gt;='Bulk Calculator'!U17/('Bulk Calculator'!J17*'Bulk Calculator'!L17)),1,0)</f>
        <v>1</v>
      </c>
      <c r="I168">
        <f>IFERROR(IF(AND(ISNUMBER(E168),ISNUMBER(F168),E168&gt;0,F168&gt;0),SQRT(3)*'Bulk Calculator'!O17*'Bulk Calculator'!AA17*((E168*'Bulk Calculator'!Q17)+(F168*SQRT(1-'Bulk Calculator'!Q17^2)))/'Bulk Calculator'!J17/'Bulk Calculator'!K17*100,D168*'Bulk Calculator'!AA17*'Bulk Calculator'!O17/'Bulk Calculator'!J17/'Bulk Calculator'!K17*100),"")</f>
        <v>0</v>
      </c>
      <c r="J168">
        <f>IFERROR(IF(AND(ISNUMBER(E168),ISNUMBER(F168),E168&gt;0,F168&gt;0),SQRT(3)*'Bulk Calculator'!O17*'Bulk Calculator'!U17*((E168*'Bulk Calculator'!M17)+(F168*SQRT(1-'Bulk Calculator'!M17^2)))/'Bulk Calculator'!J17/'Bulk Calculator'!K17*100,D168*'Bulk Calculator'!U17*'Bulk Calculator'!O17/'Bulk Calculator'!J17/'Bulk Calculator'!K17*100),"")</f>
        <v>0</v>
      </c>
      <c r="K168">
        <f>IFERROR(G168*B168*'Bulk Calculator'!J17/SQRT('Bulk Calculator'!S17)/1000,"")</f>
        <v>7.9939430195617485</v>
      </c>
      <c r="L168">
        <f>IF(OR('Bulk Calculator'!R17="",'Bulk Calculator'!S17="",G168=""),0,IF(K168&gt;='Bulk Calculator'!R17,1,0))</f>
        <v>1</v>
      </c>
      <c r="M168">
        <f>IF(AND(H168=1,I168&lt;='OS-DORAEN'!$B$6,J168&lt;='OS-DORAEN'!$B$5,L168=1),1,0)</f>
        <v>1</v>
      </c>
      <c r="N168" t="str">
        <f t="shared" si="2"/>
        <v>R/X</v>
      </c>
    </row>
    <row r="169" spans="1:14" ht="15" customHeight="1" x14ac:dyDescent="0.35">
      <c r="A169">
        <v>17</v>
      </c>
      <c r="B169">
        <v>16</v>
      </c>
      <c r="C169">
        <f>IFERROR(SUMIFS('Cable Data Master'!$G:$G,'Cable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Master'!$F:$F,B169),"")</f>
        <v>0</v>
      </c>
      <c r="D169">
        <f>IFERROR(SUMIFS('Cable Data Master'!$K:$K,'Cable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Master'!$F:$F,B169),"")</f>
        <v>0</v>
      </c>
      <c r="E169">
        <f>IFERROR(SUMIFS('Cable Data Master'!$H:$H,'Cable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Master'!$F:$F,B169),"")</f>
        <v>0</v>
      </c>
      <c r="F169">
        <f>IFERROR(SUMIFS('Cable Data Master'!$I:$I,'Cable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Master'!$F:$F,B169),"")</f>
        <v>0</v>
      </c>
      <c r="G169">
        <f>IFERROR(SUMIFS('Cable Data Master'!$J:$J,'Cable Data Master'!$A:$A,'Bulk Calculator'!$BF17,'Cable Data Master'!$B:$B,'Bulk Calculator'!$BG17,'Cable Data Master'!$C:$C,'Bulk Calculator'!$BH17,'Cable Data Master'!$D:$D,'Bulk Calculator'!$BI17,'Cable Data Master'!$E:$E,'Bulk Calculator'!$BJ17,'Cable Data Master'!$F:$F,B169),"")</f>
        <v>0</v>
      </c>
      <c r="H169">
        <f>IF(AND(ISNUMBER(C169),C169&gt;='Bulk Calculator'!U17/('Bulk Calculator'!J17*'Bulk Calculator'!L17)),1,0)</f>
        <v>1</v>
      </c>
      <c r="I169">
        <f>IFERROR(IF(AND(ISNUMBER(E169),ISNUMBER(F169),E169&gt;0,F169&gt;0),SQRT(3)*'Bulk Calculator'!O17*'Bulk Calculator'!AA17*((E169*'Bulk Calculator'!Q17)+(F169*SQRT(1-'Bulk Calculator'!Q17^2)))/'Bulk Calculator'!J17/'Bulk Calculator'!K17*100,D169*'Bulk Calculator'!AA17*'Bulk Calculator'!O17/'Bulk Calculator'!J17/'Bulk Calculator'!K17*100),"")</f>
        <v>0</v>
      </c>
      <c r="J169">
        <f>IFERROR(IF(AND(ISNUMBER(E169),ISNUMBER(F169),E169&gt;0,F169&gt;0),SQRT(3)*'Bulk Calculator'!O17*'Bulk Calculator'!U17*((E169*'Bulk Calculator'!M17)+(F169*SQRT(1-'Bulk Calculator'!M17^2)))/'Bulk Calculator'!J17/'Bulk Calculator'!K17*100,D169*'Bulk Calculator'!U17*'Bulk Calculator'!O17/'Bulk Calculator'!J17/'Bulk Calculator'!K17*100),"")</f>
        <v>0</v>
      </c>
      <c r="K169">
        <f>IFERROR(G169*B169*'Bulk Calculator'!J17/SQRT('Bulk Calculator'!S17)/1000,"")</f>
        <v>0</v>
      </c>
      <c r="L169">
        <f>IF(OR('Bulk Calculator'!R17="",'Bulk Calculator'!S17="",G169=""),0,IF(K169&gt;='Bulk Calculator'!R17,1,0))</f>
        <v>1</v>
      </c>
      <c r="M169">
        <f>IF(AND(H169=1,I169&lt;='OS-DORAEN'!$B$6,J169&lt;='OS-DORAEN'!$B$5,L169=1),1,0)</f>
        <v>1</v>
      </c>
      <c r="N169" t="str">
        <f t="shared" si="2"/>
        <v>Manufacturer VD Ref</v>
      </c>
    </row>
    <row r="170" spans="1:14" ht="15" customHeight="1" x14ac:dyDescent="0.35">
      <c r="A170">
        <v>18</v>
      </c>
      <c r="B170">
        <v>400</v>
      </c>
      <c r="C170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Master'!$F:$F,B170),"")</f>
        <v>530</v>
      </c>
      <c r="D170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Master'!$F:$F,B170),"")</f>
        <v>0.1023</v>
      </c>
      <c r="E170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Master'!$F:$F,B170),"")</f>
        <v>0.1023</v>
      </c>
      <c r="F170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Master'!$F:$F,B170),"")</f>
        <v>7.0000000000000007E-2</v>
      </c>
      <c r="G170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Master'!$F:$F,B170),"")</f>
        <v>143</v>
      </c>
      <c r="H170">
        <f>IF(AND(ISNUMBER(C170),C170&gt;='Bulk Calculator'!U18/('Bulk Calculator'!J18*'Bulk Calculator'!L18)),1,0)</f>
        <v>1</v>
      </c>
      <c r="I170">
        <f>IFERROR(IF(AND(ISNUMBER(E170),ISNUMBER(F170),E170&gt;0,F170&gt;0),SQRT(3)*'Bulk Calculator'!O18*'Bulk Calculator'!AA18*((E170*'Bulk Calculator'!Q18)+(F170*SQRT(1-'Bulk Calculator'!Q18^2)))/'Bulk Calculator'!J18/'Bulk Calculator'!K18*100,D170*'Bulk Calculator'!AA18*'Bulk Calculator'!O18/'Bulk Calculator'!J18/'Bulk Calculator'!K18*100),"")</f>
        <v>0</v>
      </c>
      <c r="J170">
        <f>IFERROR(IF(AND(ISNUMBER(E170),ISNUMBER(F170),E170&gt;0,F170&gt;0),SQRT(3)*'Bulk Calculator'!O18*'Bulk Calculator'!U18*((E170*'Bulk Calculator'!M18)+(F170*SQRT(1-'Bulk Calculator'!M18^2)))/'Bulk Calculator'!J18/'Bulk Calculator'!K18*100,D170*'Bulk Calculator'!U18*'Bulk Calculator'!O18/'Bulk Calculator'!J18/'Bulk Calculator'!K18*100),"")</f>
        <v>0</v>
      </c>
      <c r="K170">
        <f>IFERROR(G170*B170*'Bulk Calculator'!J18/SQRT('Bulk Calculator'!S18)/1000,"")</f>
        <v>127.90308831298798</v>
      </c>
      <c r="L170">
        <f>IF(OR('Bulk Calculator'!R18="",'Bulk Calculator'!S18="",G170=""),0,IF(K170&gt;='Bulk Calculator'!R18,1,0))</f>
        <v>1</v>
      </c>
      <c r="M170">
        <f>IF(AND(H170=1,I170&lt;='OS-DORAEN'!$B$6,J170&lt;='OS-DORAEN'!$B$5,L170=1),1,0)</f>
        <v>1</v>
      </c>
      <c r="N170" t="str">
        <f t="shared" si="2"/>
        <v>R/X</v>
      </c>
    </row>
    <row r="171" spans="1:14" ht="15" customHeight="1" x14ac:dyDescent="0.35">
      <c r="A171">
        <v>18</v>
      </c>
      <c r="B171">
        <v>300</v>
      </c>
      <c r="C171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Master'!$F:$F,B171),"")</f>
        <v>455</v>
      </c>
      <c r="D171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Master'!$F:$F,B171),"")</f>
        <v>0.13</v>
      </c>
      <c r="E171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Master'!$F:$F,B171),"")</f>
        <v>0.13</v>
      </c>
      <c r="F171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Master'!$F:$F,B171),"")</f>
        <v>7.0999999999999994E-2</v>
      </c>
      <c r="G171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Master'!$F:$F,B171),"")</f>
        <v>143</v>
      </c>
      <c r="H171">
        <f>IF(AND(ISNUMBER(C171),C171&gt;='Bulk Calculator'!U18/('Bulk Calculator'!J18*'Bulk Calculator'!L18)),1,0)</f>
        <v>1</v>
      </c>
      <c r="I171">
        <f>IFERROR(IF(AND(ISNUMBER(E171),ISNUMBER(F171),E171&gt;0,F171&gt;0),SQRT(3)*'Bulk Calculator'!O18*'Bulk Calculator'!AA18*((E171*'Bulk Calculator'!Q18)+(F171*SQRT(1-'Bulk Calculator'!Q18^2)))/'Bulk Calculator'!J18/'Bulk Calculator'!K18*100,D171*'Bulk Calculator'!AA18*'Bulk Calculator'!O18/'Bulk Calculator'!J18/'Bulk Calculator'!K18*100),"")</f>
        <v>0</v>
      </c>
      <c r="J171">
        <f>IFERROR(IF(AND(ISNUMBER(E171),ISNUMBER(F171),E171&gt;0,F171&gt;0),SQRT(3)*'Bulk Calculator'!O18*'Bulk Calculator'!U18*((E171*'Bulk Calculator'!M18)+(F171*SQRT(1-'Bulk Calculator'!M18^2)))/'Bulk Calculator'!J18/'Bulk Calculator'!K18*100,D171*'Bulk Calculator'!U18*'Bulk Calculator'!O18/'Bulk Calculator'!J18/'Bulk Calculator'!K18*100),"")</f>
        <v>0</v>
      </c>
      <c r="K171">
        <f>IFERROR(G171*B171*'Bulk Calculator'!J18/SQRT('Bulk Calculator'!S18)/1000,"")</f>
        <v>95.927316234740985</v>
      </c>
      <c r="L171">
        <f>IF(OR('Bulk Calculator'!R18="",'Bulk Calculator'!S18="",G171=""),0,IF(K171&gt;='Bulk Calculator'!R18,1,0))</f>
        <v>1</v>
      </c>
      <c r="M171">
        <f>IF(AND(H171=1,I171&lt;='OS-DORAEN'!$B$6,J171&lt;='OS-DORAEN'!$B$5,L171=1),1,0)</f>
        <v>1</v>
      </c>
      <c r="N171" t="str">
        <f t="shared" si="2"/>
        <v>R/X</v>
      </c>
    </row>
    <row r="172" spans="1:14" ht="15" customHeight="1" x14ac:dyDescent="0.35">
      <c r="A172">
        <v>18</v>
      </c>
      <c r="B172">
        <v>240</v>
      </c>
      <c r="C172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Master'!$F:$F,B172),"")</f>
        <v>399</v>
      </c>
      <c r="D172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Master'!$F:$F,B172),"")</f>
        <v>0.16200000000000001</v>
      </c>
      <c r="E172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Master'!$F:$F,B172),"")</f>
        <v>0.16200000000000001</v>
      </c>
      <c r="F172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Master'!$F:$F,B172),"")</f>
        <v>7.1999999999999995E-2</v>
      </c>
      <c r="G172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Master'!$F:$F,B172),"")</f>
        <v>143</v>
      </c>
      <c r="H172">
        <f>IF(AND(ISNUMBER(C172),C172&gt;='Bulk Calculator'!U18/('Bulk Calculator'!J18*'Bulk Calculator'!L18)),1,0)</f>
        <v>1</v>
      </c>
      <c r="I172">
        <f>IFERROR(IF(AND(ISNUMBER(E172),ISNUMBER(F172),E172&gt;0,F172&gt;0),SQRT(3)*'Bulk Calculator'!O18*'Bulk Calculator'!AA18*((E172*'Bulk Calculator'!Q18)+(F172*SQRT(1-'Bulk Calculator'!Q18^2)))/'Bulk Calculator'!J18/'Bulk Calculator'!K18*100,D172*'Bulk Calculator'!AA18*'Bulk Calculator'!O18/'Bulk Calculator'!J18/'Bulk Calculator'!K18*100),"")</f>
        <v>0</v>
      </c>
      <c r="J172">
        <f>IFERROR(IF(AND(ISNUMBER(E172),ISNUMBER(F172),E172&gt;0,F172&gt;0),SQRT(3)*'Bulk Calculator'!O18*'Bulk Calculator'!U18*((E172*'Bulk Calculator'!M18)+(F172*SQRT(1-'Bulk Calculator'!M18^2)))/'Bulk Calculator'!J18/'Bulk Calculator'!K18*100,D172*'Bulk Calculator'!U18*'Bulk Calculator'!O18/'Bulk Calculator'!J18/'Bulk Calculator'!K18*100),"")</f>
        <v>0</v>
      </c>
      <c r="K172">
        <f>IFERROR(G172*B172*'Bulk Calculator'!J18/SQRT('Bulk Calculator'!S18)/1000,"")</f>
        <v>76.741852987792782</v>
      </c>
      <c r="L172">
        <f>IF(OR('Bulk Calculator'!R18="",'Bulk Calculator'!S18="",G172=""),0,IF(K172&gt;='Bulk Calculator'!R18,1,0))</f>
        <v>1</v>
      </c>
      <c r="M172">
        <f>IF(AND(H172=1,I172&lt;='OS-DORAEN'!$B$6,J172&lt;='OS-DORAEN'!$B$5,L172=1),1,0)</f>
        <v>1</v>
      </c>
      <c r="N172" t="str">
        <f t="shared" si="2"/>
        <v>R/X</v>
      </c>
    </row>
    <row r="173" spans="1:14" ht="15" customHeight="1" x14ac:dyDescent="0.35">
      <c r="A173">
        <v>18</v>
      </c>
      <c r="B173">
        <v>185</v>
      </c>
      <c r="C173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Master'!$F:$F,B173),"")</f>
        <v>337</v>
      </c>
      <c r="D173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Master'!$F:$F,B173),"")</f>
        <v>0.21099999999999999</v>
      </c>
      <c r="E173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Master'!$F:$F,B173),"")</f>
        <v>0.21099999999999999</v>
      </c>
      <c r="F173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Master'!$F:$F,B173),"")</f>
        <v>7.1999999999999995E-2</v>
      </c>
      <c r="G173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Master'!$F:$F,B173),"")</f>
        <v>143</v>
      </c>
      <c r="H173">
        <f>IF(AND(ISNUMBER(C173),C173&gt;='Bulk Calculator'!U18/('Bulk Calculator'!J18*'Bulk Calculator'!L18)),1,0)</f>
        <v>1</v>
      </c>
      <c r="I173">
        <f>IFERROR(IF(AND(ISNUMBER(E173),ISNUMBER(F173),E173&gt;0,F173&gt;0),SQRT(3)*'Bulk Calculator'!O18*'Bulk Calculator'!AA18*((E173*'Bulk Calculator'!Q18)+(F173*SQRT(1-'Bulk Calculator'!Q18^2)))/'Bulk Calculator'!J18/'Bulk Calculator'!K18*100,D173*'Bulk Calculator'!AA18*'Bulk Calculator'!O18/'Bulk Calculator'!J18/'Bulk Calculator'!K18*100),"")</f>
        <v>0</v>
      </c>
      <c r="J173">
        <f>IFERROR(IF(AND(ISNUMBER(E173),ISNUMBER(F173),E173&gt;0,F173&gt;0),SQRT(3)*'Bulk Calculator'!O18*'Bulk Calculator'!U18*((E173*'Bulk Calculator'!M18)+(F173*SQRT(1-'Bulk Calculator'!M18^2)))/'Bulk Calculator'!J18/'Bulk Calculator'!K18*100,D173*'Bulk Calculator'!U18*'Bulk Calculator'!O18/'Bulk Calculator'!J18/'Bulk Calculator'!K18*100),"")</f>
        <v>0</v>
      </c>
      <c r="K173">
        <f>IFERROR(G173*B173*'Bulk Calculator'!J18/SQRT('Bulk Calculator'!S18)/1000,"")</f>
        <v>59.155178344756941</v>
      </c>
      <c r="L173">
        <f>IF(OR('Bulk Calculator'!R18="",'Bulk Calculator'!S18="",G173=""),0,IF(K173&gt;='Bulk Calculator'!R18,1,0))</f>
        <v>1</v>
      </c>
      <c r="M173">
        <f>IF(AND(H173=1,I173&lt;='OS-DORAEN'!$B$6,J173&lt;='OS-DORAEN'!$B$5,L173=1),1,0)</f>
        <v>1</v>
      </c>
      <c r="N173" t="str">
        <f t="shared" si="2"/>
        <v>R/X</v>
      </c>
    </row>
    <row r="174" spans="1:14" ht="15" customHeight="1" x14ac:dyDescent="0.35">
      <c r="A174">
        <v>18</v>
      </c>
      <c r="B174">
        <v>150</v>
      </c>
      <c r="C174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Master'!$F:$F,B174),"")</f>
        <v>292</v>
      </c>
      <c r="D174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Master'!$F:$F,B174),"")</f>
        <v>0.26500000000000001</v>
      </c>
      <c r="E174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Master'!$F:$F,B174),"")</f>
        <v>0.26500000000000001</v>
      </c>
      <c r="F174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Master'!$F:$F,B174),"")</f>
        <v>7.1999999999999995E-2</v>
      </c>
      <c r="G174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Master'!$F:$F,B174),"")</f>
        <v>143</v>
      </c>
      <c r="H174">
        <f>IF(AND(ISNUMBER(C174),C174&gt;='Bulk Calculator'!U18/('Bulk Calculator'!J18*'Bulk Calculator'!L18)),1,0)</f>
        <v>1</v>
      </c>
      <c r="I174">
        <f>IFERROR(IF(AND(ISNUMBER(E174),ISNUMBER(F174),E174&gt;0,F174&gt;0),SQRT(3)*'Bulk Calculator'!O18*'Bulk Calculator'!AA18*((E174*'Bulk Calculator'!Q18)+(F174*SQRT(1-'Bulk Calculator'!Q18^2)))/'Bulk Calculator'!J18/'Bulk Calculator'!K18*100,D174*'Bulk Calculator'!AA18*'Bulk Calculator'!O18/'Bulk Calculator'!J18/'Bulk Calculator'!K18*100),"")</f>
        <v>0</v>
      </c>
      <c r="J174">
        <f>IFERROR(IF(AND(ISNUMBER(E174),ISNUMBER(F174),E174&gt;0,F174&gt;0),SQRT(3)*'Bulk Calculator'!O18*'Bulk Calculator'!U18*((E174*'Bulk Calculator'!M18)+(F174*SQRT(1-'Bulk Calculator'!M18^2)))/'Bulk Calculator'!J18/'Bulk Calculator'!K18*100,D174*'Bulk Calculator'!U18*'Bulk Calculator'!O18/'Bulk Calculator'!J18/'Bulk Calculator'!K18*100),"")</f>
        <v>0</v>
      </c>
      <c r="K174">
        <f>IFERROR(G174*B174*'Bulk Calculator'!J18/SQRT('Bulk Calculator'!S18)/1000,"")</f>
        <v>47.963658117370493</v>
      </c>
      <c r="L174">
        <f>IF(OR('Bulk Calculator'!R18="",'Bulk Calculator'!S18="",G174=""),0,IF(K174&gt;='Bulk Calculator'!R18,1,0))</f>
        <v>1</v>
      </c>
      <c r="M174">
        <f>IF(AND(H174=1,I174&lt;='OS-DORAEN'!$B$6,J174&lt;='OS-DORAEN'!$B$5,L174=1),1,0)</f>
        <v>1</v>
      </c>
      <c r="N174" t="str">
        <f t="shared" si="2"/>
        <v>R/X</v>
      </c>
    </row>
    <row r="175" spans="1:14" ht="15" customHeight="1" x14ac:dyDescent="0.35">
      <c r="A175">
        <v>18</v>
      </c>
      <c r="B175">
        <v>120</v>
      </c>
      <c r="C175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Master'!$F:$F,B175),"")</f>
        <v>257</v>
      </c>
      <c r="D175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Master'!$F:$F,B175),"")</f>
        <v>0.32500000000000001</v>
      </c>
      <c r="E175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Master'!$F:$F,B175),"")</f>
        <v>0.32500000000000001</v>
      </c>
      <c r="F175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Master'!$F:$F,B175),"")</f>
        <v>7.1999999999999995E-2</v>
      </c>
      <c r="G175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Master'!$F:$F,B175),"")</f>
        <v>143</v>
      </c>
      <c r="H175">
        <f>IF(AND(ISNUMBER(C175),C175&gt;='Bulk Calculator'!U18/('Bulk Calculator'!J18*'Bulk Calculator'!L18)),1,0)</f>
        <v>1</v>
      </c>
      <c r="I175">
        <f>IFERROR(IF(AND(ISNUMBER(E175),ISNUMBER(F175),E175&gt;0,F175&gt;0),SQRT(3)*'Bulk Calculator'!O18*'Bulk Calculator'!AA18*((E175*'Bulk Calculator'!Q18)+(F175*SQRT(1-'Bulk Calculator'!Q18^2)))/'Bulk Calculator'!J18/'Bulk Calculator'!K18*100,D175*'Bulk Calculator'!AA18*'Bulk Calculator'!O18/'Bulk Calculator'!J18/'Bulk Calculator'!K18*100),"")</f>
        <v>0</v>
      </c>
      <c r="J175">
        <f>IFERROR(IF(AND(ISNUMBER(E175),ISNUMBER(F175),E175&gt;0,F175&gt;0),SQRT(3)*'Bulk Calculator'!O18*'Bulk Calculator'!U18*((E175*'Bulk Calculator'!M18)+(F175*SQRT(1-'Bulk Calculator'!M18^2)))/'Bulk Calculator'!J18/'Bulk Calculator'!K18*100,D175*'Bulk Calculator'!U18*'Bulk Calculator'!O18/'Bulk Calculator'!J18/'Bulk Calculator'!K18*100),"")</f>
        <v>0</v>
      </c>
      <c r="K175">
        <f>IFERROR(G175*B175*'Bulk Calculator'!J18/SQRT('Bulk Calculator'!S18)/1000,"")</f>
        <v>38.370926493896391</v>
      </c>
      <c r="L175">
        <f>IF(OR('Bulk Calculator'!R18="",'Bulk Calculator'!S18="",G175=""),0,IF(K175&gt;='Bulk Calculator'!R18,1,0))</f>
        <v>1</v>
      </c>
      <c r="M175">
        <f>IF(AND(H175=1,I175&lt;='OS-DORAEN'!$B$6,J175&lt;='OS-DORAEN'!$B$5,L175=1),1,0)</f>
        <v>1</v>
      </c>
      <c r="N175" t="str">
        <f t="shared" si="2"/>
        <v>R/X</v>
      </c>
    </row>
    <row r="176" spans="1:14" ht="15" customHeight="1" x14ac:dyDescent="0.35">
      <c r="A176">
        <v>18</v>
      </c>
      <c r="B176">
        <v>95</v>
      </c>
      <c r="C176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Master'!$F:$F,B176),"")</f>
        <v>221</v>
      </c>
      <c r="D176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Master'!$F:$F,B176),"")</f>
        <v>0.41</v>
      </c>
      <c r="E176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Master'!$F:$F,B176),"")</f>
        <v>0.41</v>
      </c>
      <c r="F176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Master'!$F:$F,B176),"")</f>
        <v>7.3999999999999996E-2</v>
      </c>
      <c r="G176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Master'!$F:$F,B176),"")</f>
        <v>143</v>
      </c>
      <c r="H176">
        <f>IF(AND(ISNUMBER(C176),C176&gt;='Bulk Calculator'!U18/('Bulk Calculator'!J18*'Bulk Calculator'!L18)),1,0)</f>
        <v>1</v>
      </c>
      <c r="I176">
        <f>IFERROR(IF(AND(ISNUMBER(E176),ISNUMBER(F176),E176&gt;0,F176&gt;0),SQRT(3)*'Bulk Calculator'!O18*'Bulk Calculator'!AA18*((E176*'Bulk Calculator'!Q18)+(F176*SQRT(1-'Bulk Calculator'!Q18^2)))/'Bulk Calculator'!J18/'Bulk Calculator'!K18*100,D176*'Bulk Calculator'!AA18*'Bulk Calculator'!O18/'Bulk Calculator'!J18/'Bulk Calculator'!K18*100),"")</f>
        <v>0</v>
      </c>
      <c r="J176">
        <f>IFERROR(IF(AND(ISNUMBER(E176),ISNUMBER(F176),E176&gt;0,F176&gt;0),SQRT(3)*'Bulk Calculator'!O18*'Bulk Calculator'!U18*((E176*'Bulk Calculator'!M18)+(F176*SQRT(1-'Bulk Calculator'!M18^2)))/'Bulk Calculator'!J18/'Bulk Calculator'!K18*100,D176*'Bulk Calculator'!U18*'Bulk Calculator'!O18/'Bulk Calculator'!J18/'Bulk Calculator'!K18*100),"")</f>
        <v>0</v>
      </c>
      <c r="K176">
        <f>IFERROR(G176*B176*'Bulk Calculator'!J18/SQRT('Bulk Calculator'!S18)/1000,"")</f>
        <v>30.376983474334644</v>
      </c>
      <c r="L176">
        <f>IF(OR('Bulk Calculator'!R18="",'Bulk Calculator'!S18="",G176=""),0,IF(K176&gt;='Bulk Calculator'!R18,1,0))</f>
        <v>1</v>
      </c>
      <c r="M176">
        <f>IF(AND(H176=1,I176&lt;='OS-DORAEN'!$B$6,J176&lt;='OS-DORAEN'!$B$5,L176=1),1,0)</f>
        <v>1</v>
      </c>
      <c r="N176" t="str">
        <f t="shared" si="2"/>
        <v>R/X</v>
      </c>
    </row>
    <row r="177" spans="1:14" ht="15" customHeight="1" x14ac:dyDescent="0.35">
      <c r="A177">
        <v>18</v>
      </c>
      <c r="B177">
        <v>70</v>
      </c>
      <c r="C177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Master'!$F:$F,B177),"")</f>
        <v>179</v>
      </c>
      <c r="D177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Master'!$F:$F,B177),"")</f>
        <v>0.56699999999999995</v>
      </c>
      <c r="E177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Master'!$F:$F,B177),"")</f>
        <v>0.56699999999999995</v>
      </c>
      <c r="F177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Master'!$F:$F,B177),"")</f>
        <v>7.6999999999999999E-2</v>
      </c>
      <c r="G177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Master'!$F:$F,B177),"")</f>
        <v>143</v>
      </c>
      <c r="H177">
        <f>IF(AND(ISNUMBER(C177),C177&gt;='Bulk Calculator'!U18/('Bulk Calculator'!J18*'Bulk Calculator'!L18)),1,0)</f>
        <v>1</v>
      </c>
      <c r="I177">
        <f>IFERROR(IF(AND(ISNUMBER(E177),ISNUMBER(F177),E177&gt;0,F177&gt;0),SQRT(3)*'Bulk Calculator'!O18*'Bulk Calculator'!AA18*((E177*'Bulk Calculator'!Q18)+(F177*SQRT(1-'Bulk Calculator'!Q18^2)))/'Bulk Calculator'!J18/'Bulk Calculator'!K18*100,D177*'Bulk Calculator'!AA18*'Bulk Calculator'!O18/'Bulk Calculator'!J18/'Bulk Calculator'!K18*100),"")</f>
        <v>0</v>
      </c>
      <c r="J177">
        <f>IFERROR(IF(AND(ISNUMBER(E177),ISNUMBER(F177),E177&gt;0,F177&gt;0),SQRT(3)*'Bulk Calculator'!O18*'Bulk Calculator'!U18*((E177*'Bulk Calculator'!M18)+(F177*SQRT(1-'Bulk Calculator'!M18^2)))/'Bulk Calculator'!J18/'Bulk Calculator'!K18*100,D177*'Bulk Calculator'!U18*'Bulk Calculator'!O18/'Bulk Calculator'!J18/'Bulk Calculator'!K18*100),"")</f>
        <v>0</v>
      </c>
      <c r="K177">
        <f>IFERROR(G177*B177*'Bulk Calculator'!J18/SQRT('Bulk Calculator'!S18)/1000,"")</f>
        <v>22.383040454772893</v>
      </c>
      <c r="L177">
        <f>IF(OR('Bulk Calculator'!R18="",'Bulk Calculator'!S18="",G177=""),0,IF(K177&gt;='Bulk Calculator'!R18,1,0))</f>
        <v>1</v>
      </c>
      <c r="M177">
        <f>IF(AND(H177=1,I177&lt;='OS-DORAEN'!$B$6,J177&lt;='OS-DORAEN'!$B$5,L177=1),1,0)</f>
        <v>1</v>
      </c>
      <c r="N177" t="str">
        <f t="shared" si="2"/>
        <v>R/X</v>
      </c>
    </row>
    <row r="178" spans="1:14" ht="15" customHeight="1" x14ac:dyDescent="0.35">
      <c r="A178">
        <v>18</v>
      </c>
      <c r="B178">
        <v>50</v>
      </c>
      <c r="C178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Master'!$F:$F,B178),"")</f>
        <v>142</v>
      </c>
      <c r="D178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Master'!$F:$F,B178),"")</f>
        <v>0.82</v>
      </c>
      <c r="E178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Master'!$F:$F,B178),"")</f>
        <v>0.82</v>
      </c>
      <c r="F178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Master'!$F:$F,B178),"")</f>
        <v>7.8E-2</v>
      </c>
      <c r="G178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Master'!$F:$F,B178),"")</f>
        <v>143</v>
      </c>
      <c r="H178">
        <f>IF(AND(ISNUMBER(C178),C178&gt;='Bulk Calculator'!U18/('Bulk Calculator'!J18*'Bulk Calculator'!L18)),1,0)</f>
        <v>1</v>
      </c>
      <c r="I178">
        <f>IFERROR(IF(AND(ISNUMBER(E178),ISNUMBER(F178),E178&gt;0,F178&gt;0),SQRT(3)*'Bulk Calculator'!O18*'Bulk Calculator'!AA18*((E178*'Bulk Calculator'!Q18)+(F178*SQRT(1-'Bulk Calculator'!Q18^2)))/'Bulk Calculator'!J18/'Bulk Calculator'!K18*100,D178*'Bulk Calculator'!AA18*'Bulk Calculator'!O18/'Bulk Calculator'!J18/'Bulk Calculator'!K18*100),"")</f>
        <v>0</v>
      </c>
      <c r="J178">
        <f>IFERROR(IF(AND(ISNUMBER(E178),ISNUMBER(F178),E178&gt;0,F178&gt;0),SQRT(3)*'Bulk Calculator'!O18*'Bulk Calculator'!U18*((E178*'Bulk Calculator'!M18)+(F178*SQRT(1-'Bulk Calculator'!M18^2)))/'Bulk Calculator'!J18/'Bulk Calculator'!K18*100,D178*'Bulk Calculator'!U18*'Bulk Calculator'!O18/'Bulk Calculator'!J18/'Bulk Calculator'!K18*100),"")</f>
        <v>0</v>
      </c>
      <c r="K178">
        <f>IFERROR(G178*B178*'Bulk Calculator'!J18/SQRT('Bulk Calculator'!S18)/1000,"")</f>
        <v>15.987886039123497</v>
      </c>
      <c r="L178">
        <f>IF(OR('Bulk Calculator'!R18="",'Bulk Calculator'!S18="",G178=""),0,IF(K178&gt;='Bulk Calculator'!R18,1,0))</f>
        <v>1</v>
      </c>
      <c r="M178">
        <f>IF(AND(H178=1,I178&lt;='OS-DORAEN'!$B$6,J178&lt;='OS-DORAEN'!$B$5,L178=1),1,0)</f>
        <v>1</v>
      </c>
      <c r="N178" t="str">
        <f t="shared" si="2"/>
        <v>R/X</v>
      </c>
    </row>
    <row r="179" spans="1:14" ht="15" customHeight="1" x14ac:dyDescent="0.35">
      <c r="A179">
        <v>18</v>
      </c>
      <c r="B179">
        <v>35</v>
      </c>
      <c r="C179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Master'!$F:$F,B179),"")</f>
        <v>117</v>
      </c>
      <c r="D179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Master'!$F:$F,B179),"")</f>
        <v>1.1100000000000001</v>
      </c>
      <c r="E179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Master'!$F:$F,B179),"")</f>
        <v>1.1100000000000001</v>
      </c>
      <c r="F179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Master'!$F:$F,B179),"")</f>
        <v>0.08</v>
      </c>
      <c r="G179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Master'!$F:$F,B179),"")</f>
        <v>143</v>
      </c>
      <c r="H179">
        <f>IF(AND(ISNUMBER(C179),C179&gt;='Bulk Calculator'!U18/('Bulk Calculator'!J18*'Bulk Calculator'!L18)),1,0)</f>
        <v>1</v>
      </c>
      <c r="I179">
        <f>IFERROR(IF(AND(ISNUMBER(E179),ISNUMBER(F179),E179&gt;0,F179&gt;0),SQRT(3)*'Bulk Calculator'!O18*'Bulk Calculator'!AA18*((E179*'Bulk Calculator'!Q18)+(F179*SQRT(1-'Bulk Calculator'!Q18^2)))/'Bulk Calculator'!J18/'Bulk Calculator'!K18*100,D179*'Bulk Calculator'!AA18*'Bulk Calculator'!O18/'Bulk Calculator'!J18/'Bulk Calculator'!K18*100),"")</f>
        <v>0</v>
      </c>
      <c r="J179">
        <f>IFERROR(IF(AND(ISNUMBER(E179),ISNUMBER(F179),E179&gt;0,F179&gt;0),SQRT(3)*'Bulk Calculator'!O18*'Bulk Calculator'!U18*((E179*'Bulk Calculator'!M18)+(F179*SQRT(1-'Bulk Calculator'!M18^2)))/'Bulk Calculator'!J18/'Bulk Calculator'!K18*100,D179*'Bulk Calculator'!U18*'Bulk Calculator'!O18/'Bulk Calculator'!J18/'Bulk Calculator'!K18*100),"")</f>
        <v>0</v>
      </c>
      <c r="K179">
        <f>IFERROR(G179*B179*'Bulk Calculator'!J18/SQRT('Bulk Calculator'!S18)/1000,"")</f>
        <v>11.191520227386446</v>
      </c>
      <c r="L179">
        <f>IF(OR('Bulk Calculator'!R18="",'Bulk Calculator'!S18="",G179=""),0,IF(K179&gt;='Bulk Calculator'!R18,1,0))</f>
        <v>1</v>
      </c>
      <c r="M179">
        <f>IF(AND(H179=1,I179&lt;='OS-DORAEN'!$B$6,J179&lt;='OS-DORAEN'!$B$5,L179=1),1,0)</f>
        <v>1</v>
      </c>
      <c r="N179" t="str">
        <f t="shared" si="2"/>
        <v>R/X</v>
      </c>
    </row>
    <row r="180" spans="1:14" ht="15" customHeight="1" x14ac:dyDescent="0.35">
      <c r="A180">
        <v>18</v>
      </c>
      <c r="B180">
        <v>25</v>
      </c>
      <c r="C180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Master'!$F:$F,B180),"")</f>
        <v>96</v>
      </c>
      <c r="D180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Master'!$F:$F,B180),"")</f>
        <v>1.54</v>
      </c>
      <c r="E180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Master'!$F:$F,B180),"")</f>
        <v>1.54</v>
      </c>
      <c r="F180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Master'!$F:$F,B180),"")</f>
        <v>0.08</v>
      </c>
      <c r="G180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Master'!$F:$F,B180),"")</f>
        <v>143</v>
      </c>
      <c r="H180">
        <f>IF(AND(ISNUMBER(C180),C180&gt;='Bulk Calculator'!U18/('Bulk Calculator'!J18*'Bulk Calculator'!L18)),1,0)</f>
        <v>1</v>
      </c>
      <c r="I180">
        <f>IFERROR(IF(AND(ISNUMBER(E180),ISNUMBER(F180),E180&gt;0,F180&gt;0),SQRT(3)*'Bulk Calculator'!O18*'Bulk Calculator'!AA18*((E180*'Bulk Calculator'!Q18)+(F180*SQRT(1-'Bulk Calculator'!Q18^2)))/'Bulk Calculator'!J18/'Bulk Calculator'!K18*100,D180*'Bulk Calculator'!AA18*'Bulk Calculator'!O18/'Bulk Calculator'!J18/'Bulk Calculator'!K18*100),"")</f>
        <v>0</v>
      </c>
      <c r="J180">
        <f>IFERROR(IF(AND(ISNUMBER(E180),ISNUMBER(F180),E180&gt;0,F180&gt;0),SQRT(3)*'Bulk Calculator'!O18*'Bulk Calculator'!U18*((E180*'Bulk Calculator'!M18)+(F180*SQRT(1-'Bulk Calculator'!M18^2)))/'Bulk Calculator'!J18/'Bulk Calculator'!K18*100,D180*'Bulk Calculator'!U18*'Bulk Calculator'!O18/'Bulk Calculator'!J18/'Bulk Calculator'!K18*100),"")</f>
        <v>0</v>
      </c>
      <c r="K180">
        <f>IFERROR(G180*B180*'Bulk Calculator'!J18/SQRT('Bulk Calculator'!S18)/1000,"")</f>
        <v>7.9939430195617485</v>
      </c>
      <c r="L180">
        <f>IF(OR('Bulk Calculator'!R18="",'Bulk Calculator'!S18="",G180=""),0,IF(K180&gt;='Bulk Calculator'!R18,1,0))</f>
        <v>1</v>
      </c>
      <c r="M180">
        <f>IF(AND(H180=1,I180&lt;='OS-DORAEN'!$B$6,J180&lt;='OS-DORAEN'!$B$5,L180=1),1,0)</f>
        <v>1</v>
      </c>
      <c r="N180" t="str">
        <f t="shared" si="2"/>
        <v>R/X</v>
      </c>
    </row>
    <row r="181" spans="1:14" ht="15" customHeight="1" x14ac:dyDescent="0.35">
      <c r="A181">
        <v>18</v>
      </c>
      <c r="B181">
        <v>16</v>
      </c>
      <c r="C181">
        <f>IFERROR(SUMIFS('Cable Data Master'!$G:$G,'Cable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Master'!$F:$F,B181),"")</f>
        <v>0</v>
      </c>
      <c r="D181">
        <f>IFERROR(SUMIFS('Cable Data Master'!$K:$K,'Cable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Master'!$F:$F,B181),"")</f>
        <v>0</v>
      </c>
      <c r="E181">
        <f>IFERROR(SUMIFS('Cable Data Master'!$H:$H,'Cable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Master'!$F:$F,B181),"")</f>
        <v>0</v>
      </c>
      <c r="F181">
        <f>IFERROR(SUMIFS('Cable Data Master'!$I:$I,'Cable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Master'!$F:$F,B181),"")</f>
        <v>0</v>
      </c>
      <c r="G181">
        <f>IFERROR(SUMIFS('Cable Data Master'!$J:$J,'Cable Data Master'!$A:$A,'Bulk Calculator'!$BF18,'Cable Data Master'!$B:$B,'Bulk Calculator'!$BG18,'Cable Data Master'!$C:$C,'Bulk Calculator'!$BH18,'Cable Data Master'!$D:$D,'Bulk Calculator'!$BI18,'Cable Data Master'!$E:$E,'Bulk Calculator'!$BJ18,'Cable Data Master'!$F:$F,B181),"")</f>
        <v>0</v>
      </c>
      <c r="H181">
        <f>IF(AND(ISNUMBER(C181),C181&gt;='Bulk Calculator'!U18/('Bulk Calculator'!J18*'Bulk Calculator'!L18)),1,0)</f>
        <v>1</v>
      </c>
      <c r="I181">
        <f>IFERROR(IF(AND(ISNUMBER(E181),ISNUMBER(F181),E181&gt;0,F181&gt;0),SQRT(3)*'Bulk Calculator'!O18*'Bulk Calculator'!AA18*((E181*'Bulk Calculator'!Q18)+(F181*SQRT(1-'Bulk Calculator'!Q18^2)))/'Bulk Calculator'!J18/'Bulk Calculator'!K18*100,D181*'Bulk Calculator'!AA18*'Bulk Calculator'!O18/'Bulk Calculator'!J18/'Bulk Calculator'!K18*100),"")</f>
        <v>0</v>
      </c>
      <c r="J181">
        <f>IFERROR(IF(AND(ISNUMBER(E181),ISNUMBER(F181),E181&gt;0,F181&gt;0),SQRT(3)*'Bulk Calculator'!O18*'Bulk Calculator'!U18*((E181*'Bulk Calculator'!M18)+(F181*SQRT(1-'Bulk Calculator'!M18^2)))/'Bulk Calculator'!J18/'Bulk Calculator'!K18*100,D181*'Bulk Calculator'!U18*'Bulk Calculator'!O18/'Bulk Calculator'!J18/'Bulk Calculator'!K18*100),"")</f>
        <v>0</v>
      </c>
      <c r="K181">
        <f>IFERROR(G181*B181*'Bulk Calculator'!J18/SQRT('Bulk Calculator'!S18)/1000,"")</f>
        <v>0</v>
      </c>
      <c r="L181">
        <f>IF(OR('Bulk Calculator'!R18="",'Bulk Calculator'!S18="",G181=""),0,IF(K181&gt;='Bulk Calculator'!R18,1,0))</f>
        <v>1</v>
      </c>
      <c r="M181">
        <f>IF(AND(H181=1,I181&lt;='OS-DORAEN'!$B$6,J181&lt;='OS-DORAEN'!$B$5,L181=1),1,0)</f>
        <v>1</v>
      </c>
      <c r="N181" t="str">
        <f t="shared" si="2"/>
        <v>Manufacturer VD Ref</v>
      </c>
    </row>
    <row r="182" spans="1:14" ht="15" customHeight="1" x14ac:dyDescent="0.35">
      <c r="A182">
        <v>19</v>
      </c>
      <c r="B182">
        <v>400</v>
      </c>
      <c r="C182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Master'!$F:$F,B182),"")</f>
        <v>530</v>
      </c>
      <c r="D182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Master'!$F:$F,B182),"")</f>
        <v>0.1023</v>
      </c>
      <c r="E182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Master'!$F:$F,B182),"")</f>
        <v>0.1023</v>
      </c>
      <c r="F182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Master'!$F:$F,B182),"")</f>
        <v>7.0000000000000007E-2</v>
      </c>
      <c r="G182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Master'!$F:$F,B182),"")</f>
        <v>143</v>
      </c>
      <c r="H182">
        <f>IF(AND(ISNUMBER(C182),C182&gt;='Bulk Calculator'!U19/('Bulk Calculator'!J19*'Bulk Calculator'!L19)),1,0)</f>
        <v>1</v>
      </c>
      <c r="I182">
        <f>IFERROR(IF(AND(ISNUMBER(E182),ISNUMBER(F182),E182&gt;0,F182&gt;0),SQRT(3)*'Bulk Calculator'!O19*'Bulk Calculator'!AA19*((E182*'Bulk Calculator'!Q19)+(F182*SQRT(1-'Bulk Calculator'!Q19^2)))/'Bulk Calculator'!J19/'Bulk Calculator'!K19*100,D182*'Bulk Calculator'!AA19*'Bulk Calculator'!O19/'Bulk Calculator'!J19/'Bulk Calculator'!K19*100),"")</f>
        <v>0</v>
      </c>
      <c r="J182">
        <f>IFERROR(IF(AND(ISNUMBER(E182),ISNUMBER(F182),E182&gt;0,F182&gt;0),SQRT(3)*'Bulk Calculator'!O19*'Bulk Calculator'!U19*((E182*'Bulk Calculator'!M19)+(F182*SQRT(1-'Bulk Calculator'!M19^2)))/'Bulk Calculator'!J19/'Bulk Calculator'!K19*100,D182*'Bulk Calculator'!U19*'Bulk Calculator'!O19/'Bulk Calculator'!J19/'Bulk Calculator'!K19*100),"")</f>
        <v>0</v>
      </c>
      <c r="K182">
        <f>IFERROR(G182*B182*'Bulk Calculator'!J19/SQRT('Bulk Calculator'!S19)/1000,"")</f>
        <v>127.90308831298798</v>
      </c>
      <c r="L182">
        <f>IF(OR('Bulk Calculator'!R19="",'Bulk Calculator'!S19="",G182=""),0,IF(K182&gt;='Bulk Calculator'!R19,1,0))</f>
        <v>1</v>
      </c>
      <c r="M182">
        <f>IF(AND(H182=1,I182&lt;='OS-DORAEN'!$B$6,J182&lt;='OS-DORAEN'!$B$5,L182=1),1,0)</f>
        <v>1</v>
      </c>
      <c r="N182" t="str">
        <f t="shared" si="2"/>
        <v>R/X</v>
      </c>
    </row>
    <row r="183" spans="1:14" ht="15" customHeight="1" x14ac:dyDescent="0.35">
      <c r="A183">
        <v>19</v>
      </c>
      <c r="B183">
        <v>300</v>
      </c>
      <c r="C183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Master'!$F:$F,B183),"")</f>
        <v>455</v>
      </c>
      <c r="D183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Master'!$F:$F,B183),"")</f>
        <v>0.13</v>
      </c>
      <c r="E183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Master'!$F:$F,B183),"")</f>
        <v>0.13</v>
      </c>
      <c r="F183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Master'!$F:$F,B183),"")</f>
        <v>7.0999999999999994E-2</v>
      </c>
      <c r="G183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Master'!$F:$F,B183),"")</f>
        <v>143</v>
      </c>
      <c r="H183">
        <f>IF(AND(ISNUMBER(C183),C183&gt;='Bulk Calculator'!U19/('Bulk Calculator'!J19*'Bulk Calculator'!L19)),1,0)</f>
        <v>1</v>
      </c>
      <c r="I183">
        <f>IFERROR(IF(AND(ISNUMBER(E183),ISNUMBER(F183),E183&gt;0,F183&gt;0),SQRT(3)*'Bulk Calculator'!O19*'Bulk Calculator'!AA19*((E183*'Bulk Calculator'!Q19)+(F183*SQRT(1-'Bulk Calculator'!Q19^2)))/'Bulk Calculator'!J19/'Bulk Calculator'!K19*100,D183*'Bulk Calculator'!AA19*'Bulk Calculator'!O19/'Bulk Calculator'!J19/'Bulk Calculator'!K19*100),"")</f>
        <v>0</v>
      </c>
      <c r="J183">
        <f>IFERROR(IF(AND(ISNUMBER(E183),ISNUMBER(F183),E183&gt;0,F183&gt;0),SQRT(3)*'Bulk Calculator'!O19*'Bulk Calculator'!U19*((E183*'Bulk Calculator'!M19)+(F183*SQRT(1-'Bulk Calculator'!M19^2)))/'Bulk Calculator'!J19/'Bulk Calculator'!K19*100,D183*'Bulk Calculator'!U19*'Bulk Calculator'!O19/'Bulk Calculator'!J19/'Bulk Calculator'!K19*100),"")</f>
        <v>0</v>
      </c>
      <c r="K183">
        <f>IFERROR(G183*B183*'Bulk Calculator'!J19/SQRT('Bulk Calculator'!S19)/1000,"")</f>
        <v>95.927316234740985</v>
      </c>
      <c r="L183">
        <f>IF(OR('Bulk Calculator'!R19="",'Bulk Calculator'!S19="",G183=""),0,IF(K183&gt;='Bulk Calculator'!R19,1,0))</f>
        <v>1</v>
      </c>
      <c r="M183">
        <f>IF(AND(H183=1,I183&lt;='OS-DORAEN'!$B$6,J183&lt;='OS-DORAEN'!$B$5,L183=1),1,0)</f>
        <v>1</v>
      </c>
      <c r="N183" t="str">
        <f t="shared" si="2"/>
        <v>R/X</v>
      </c>
    </row>
    <row r="184" spans="1:14" ht="15" customHeight="1" x14ac:dyDescent="0.35">
      <c r="A184">
        <v>19</v>
      </c>
      <c r="B184">
        <v>240</v>
      </c>
      <c r="C184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Master'!$F:$F,B184),"")</f>
        <v>399</v>
      </c>
      <c r="D184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Master'!$F:$F,B184),"")</f>
        <v>0.16200000000000001</v>
      </c>
      <c r="E184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Master'!$F:$F,B184),"")</f>
        <v>0.16200000000000001</v>
      </c>
      <c r="F184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Master'!$F:$F,B184),"")</f>
        <v>7.1999999999999995E-2</v>
      </c>
      <c r="G184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Master'!$F:$F,B184),"")</f>
        <v>143</v>
      </c>
      <c r="H184">
        <f>IF(AND(ISNUMBER(C184),C184&gt;='Bulk Calculator'!U19/('Bulk Calculator'!J19*'Bulk Calculator'!L19)),1,0)</f>
        <v>1</v>
      </c>
      <c r="I184">
        <f>IFERROR(IF(AND(ISNUMBER(E184),ISNUMBER(F184),E184&gt;0,F184&gt;0),SQRT(3)*'Bulk Calculator'!O19*'Bulk Calculator'!AA19*((E184*'Bulk Calculator'!Q19)+(F184*SQRT(1-'Bulk Calculator'!Q19^2)))/'Bulk Calculator'!J19/'Bulk Calculator'!K19*100,D184*'Bulk Calculator'!AA19*'Bulk Calculator'!O19/'Bulk Calculator'!J19/'Bulk Calculator'!K19*100),"")</f>
        <v>0</v>
      </c>
      <c r="J184">
        <f>IFERROR(IF(AND(ISNUMBER(E184),ISNUMBER(F184),E184&gt;0,F184&gt;0),SQRT(3)*'Bulk Calculator'!O19*'Bulk Calculator'!U19*((E184*'Bulk Calculator'!M19)+(F184*SQRT(1-'Bulk Calculator'!M19^2)))/'Bulk Calculator'!J19/'Bulk Calculator'!K19*100,D184*'Bulk Calculator'!U19*'Bulk Calculator'!O19/'Bulk Calculator'!J19/'Bulk Calculator'!K19*100),"")</f>
        <v>0</v>
      </c>
      <c r="K184">
        <f>IFERROR(G184*B184*'Bulk Calculator'!J19/SQRT('Bulk Calculator'!S19)/1000,"")</f>
        <v>76.741852987792782</v>
      </c>
      <c r="L184">
        <f>IF(OR('Bulk Calculator'!R19="",'Bulk Calculator'!S19="",G184=""),0,IF(K184&gt;='Bulk Calculator'!R19,1,0))</f>
        <v>1</v>
      </c>
      <c r="M184">
        <f>IF(AND(H184=1,I184&lt;='OS-DORAEN'!$B$6,J184&lt;='OS-DORAEN'!$B$5,L184=1),1,0)</f>
        <v>1</v>
      </c>
      <c r="N184" t="str">
        <f t="shared" si="2"/>
        <v>R/X</v>
      </c>
    </row>
    <row r="185" spans="1:14" ht="15" customHeight="1" x14ac:dyDescent="0.35">
      <c r="A185">
        <v>19</v>
      </c>
      <c r="B185">
        <v>185</v>
      </c>
      <c r="C185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Master'!$F:$F,B185),"")</f>
        <v>337</v>
      </c>
      <c r="D185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Master'!$F:$F,B185),"")</f>
        <v>0.21099999999999999</v>
      </c>
      <c r="E185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Master'!$F:$F,B185),"")</f>
        <v>0.21099999999999999</v>
      </c>
      <c r="F185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Master'!$F:$F,B185),"")</f>
        <v>7.1999999999999995E-2</v>
      </c>
      <c r="G185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Master'!$F:$F,B185),"")</f>
        <v>143</v>
      </c>
      <c r="H185">
        <f>IF(AND(ISNUMBER(C185),C185&gt;='Bulk Calculator'!U19/('Bulk Calculator'!J19*'Bulk Calculator'!L19)),1,0)</f>
        <v>1</v>
      </c>
      <c r="I185">
        <f>IFERROR(IF(AND(ISNUMBER(E185),ISNUMBER(F185),E185&gt;0,F185&gt;0),SQRT(3)*'Bulk Calculator'!O19*'Bulk Calculator'!AA19*((E185*'Bulk Calculator'!Q19)+(F185*SQRT(1-'Bulk Calculator'!Q19^2)))/'Bulk Calculator'!J19/'Bulk Calculator'!K19*100,D185*'Bulk Calculator'!AA19*'Bulk Calculator'!O19/'Bulk Calculator'!J19/'Bulk Calculator'!K19*100),"")</f>
        <v>0</v>
      </c>
      <c r="J185">
        <f>IFERROR(IF(AND(ISNUMBER(E185),ISNUMBER(F185),E185&gt;0,F185&gt;0),SQRT(3)*'Bulk Calculator'!O19*'Bulk Calculator'!U19*((E185*'Bulk Calculator'!M19)+(F185*SQRT(1-'Bulk Calculator'!M19^2)))/'Bulk Calculator'!J19/'Bulk Calculator'!K19*100,D185*'Bulk Calculator'!U19*'Bulk Calculator'!O19/'Bulk Calculator'!J19/'Bulk Calculator'!K19*100),"")</f>
        <v>0</v>
      </c>
      <c r="K185">
        <f>IFERROR(G185*B185*'Bulk Calculator'!J19/SQRT('Bulk Calculator'!S19)/1000,"")</f>
        <v>59.155178344756941</v>
      </c>
      <c r="L185">
        <f>IF(OR('Bulk Calculator'!R19="",'Bulk Calculator'!S19="",G185=""),0,IF(K185&gt;='Bulk Calculator'!R19,1,0))</f>
        <v>1</v>
      </c>
      <c r="M185">
        <f>IF(AND(H185=1,I185&lt;='OS-DORAEN'!$B$6,J185&lt;='OS-DORAEN'!$B$5,L185=1),1,0)</f>
        <v>1</v>
      </c>
      <c r="N185" t="str">
        <f t="shared" si="2"/>
        <v>R/X</v>
      </c>
    </row>
    <row r="186" spans="1:14" ht="15" customHeight="1" x14ac:dyDescent="0.35">
      <c r="A186">
        <v>19</v>
      </c>
      <c r="B186">
        <v>150</v>
      </c>
      <c r="C186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Master'!$F:$F,B186),"")</f>
        <v>292</v>
      </c>
      <c r="D186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Master'!$F:$F,B186),"")</f>
        <v>0.26500000000000001</v>
      </c>
      <c r="E186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Master'!$F:$F,B186),"")</f>
        <v>0.26500000000000001</v>
      </c>
      <c r="F186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Master'!$F:$F,B186),"")</f>
        <v>7.1999999999999995E-2</v>
      </c>
      <c r="G186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Master'!$F:$F,B186),"")</f>
        <v>143</v>
      </c>
      <c r="H186">
        <f>IF(AND(ISNUMBER(C186),C186&gt;='Bulk Calculator'!U19/('Bulk Calculator'!J19*'Bulk Calculator'!L19)),1,0)</f>
        <v>1</v>
      </c>
      <c r="I186">
        <f>IFERROR(IF(AND(ISNUMBER(E186),ISNUMBER(F186),E186&gt;0,F186&gt;0),SQRT(3)*'Bulk Calculator'!O19*'Bulk Calculator'!AA19*((E186*'Bulk Calculator'!Q19)+(F186*SQRT(1-'Bulk Calculator'!Q19^2)))/'Bulk Calculator'!J19/'Bulk Calculator'!K19*100,D186*'Bulk Calculator'!AA19*'Bulk Calculator'!O19/'Bulk Calculator'!J19/'Bulk Calculator'!K19*100),"")</f>
        <v>0</v>
      </c>
      <c r="J186">
        <f>IFERROR(IF(AND(ISNUMBER(E186),ISNUMBER(F186),E186&gt;0,F186&gt;0),SQRT(3)*'Bulk Calculator'!O19*'Bulk Calculator'!U19*((E186*'Bulk Calculator'!M19)+(F186*SQRT(1-'Bulk Calculator'!M19^2)))/'Bulk Calculator'!J19/'Bulk Calculator'!K19*100,D186*'Bulk Calculator'!U19*'Bulk Calculator'!O19/'Bulk Calculator'!J19/'Bulk Calculator'!K19*100),"")</f>
        <v>0</v>
      </c>
      <c r="K186">
        <f>IFERROR(G186*B186*'Bulk Calculator'!J19/SQRT('Bulk Calculator'!S19)/1000,"")</f>
        <v>47.963658117370493</v>
      </c>
      <c r="L186">
        <f>IF(OR('Bulk Calculator'!R19="",'Bulk Calculator'!S19="",G186=""),0,IF(K186&gt;='Bulk Calculator'!R19,1,0))</f>
        <v>1</v>
      </c>
      <c r="M186">
        <f>IF(AND(H186=1,I186&lt;='OS-DORAEN'!$B$6,J186&lt;='OS-DORAEN'!$B$5,L186=1),1,0)</f>
        <v>1</v>
      </c>
      <c r="N186" t="str">
        <f t="shared" si="2"/>
        <v>R/X</v>
      </c>
    </row>
    <row r="187" spans="1:14" ht="15" customHeight="1" x14ac:dyDescent="0.35">
      <c r="A187">
        <v>19</v>
      </c>
      <c r="B187">
        <v>120</v>
      </c>
      <c r="C187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Master'!$F:$F,B187),"")</f>
        <v>257</v>
      </c>
      <c r="D187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Master'!$F:$F,B187),"")</f>
        <v>0.32500000000000001</v>
      </c>
      <c r="E187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Master'!$F:$F,B187),"")</f>
        <v>0.32500000000000001</v>
      </c>
      <c r="F187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Master'!$F:$F,B187),"")</f>
        <v>7.1999999999999995E-2</v>
      </c>
      <c r="G187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Master'!$F:$F,B187),"")</f>
        <v>143</v>
      </c>
      <c r="H187">
        <f>IF(AND(ISNUMBER(C187),C187&gt;='Bulk Calculator'!U19/('Bulk Calculator'!J19*'Bulk Calculator'!L19)),1,0)</f>
        <v>1</v>
      </c>
      <c r="I187">
        <f>IFERROR(IF(AND(ISNUMBER(E187),ISNUMBER(F187),E187&gt;0,F187&gt;0),SQRT(3)*'Bulk Calculator'!O19*'Bulk Calculator'!AA19*((E187*'Bulk Calculator'!Q19)+(F187*SQRT(1-'Bulk Calculator'!Q19^2)))/'Bulk Calculator'!J19/'Bulk Calculator'!K19*100,D187*'Bulk Calculator'!AA19*'Bulk Calculator'!O19/'Bulk Calculator'!J19/'Bulk Calculator'!K19*100),"")</f>
        <v>0</v>
      </c>
      <c r="J187">
        <f>IFERROR(IF(AND(ISNUMBER(E187),ISNUMBER(F187),E187&gt;0,F187&gt;0),SQRT(3)*'Bulk Calculator'!O19*'Bulk Calculator'!U19*((E187*'Bulk Calculator'!M19)+(F187*SQRT(1-'Bulk Calculator'!M19^2)))/'Bulk Calculator'!J19/'Bulk Calculator'!K19*100,D187*'Bulk Calculator'!U19*'Bulk Calculator'!O19/'Bulk Calculator'!J19/'Bulk Calculator'!K19*100),"")</f>
        <v>0</v>
      </c>
      <c r="K187">
        <f>IFERROR(G187*B187*'Bulk Calculator'!J19/SQRT('Bulk Calculator'!S19)/1000,"")</f>
        <v>38.370926493896391</v>
      </c>
      <c r="L187">
        <f>IF(OR('Bulk Calculator'!R19="",'Bulk Calculator'!S19="",G187=""),0,IF(K187&gt;='Bulk Calculator'!R19,1,0))</f>
        <v>1</v>
      </c>
      <c r="M187">
        <f>IF(AND(H187=1,I187&lt;='OS-DORAEN'!$B$6,J187&lt;='OS-DORAEN'!$B$5,L187=1),1,0)</f>
        <v>1</v>
      </c>
      <c r="N187" t="str">
        <f t="shared" si="2"/>
        <v>R/X</v>
      </c>
    </row>
    <row r="188" spans="1:14" ht="15" customHeight="1" x14ac:dyDescent="0.35">
      <c r="A188">
        <v>19</v>
      </c>
      <c r="B188">
        <v>95</v>
      </c>
      <c r="C188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Master'!$F:$F,B188),"")</f>
        <v>221</v>
      </c>
      <c r="D188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Master'!$F:$F,B188),"")</f>
        <v>0.41</v>
      </c>
      <c r="E188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Master'!$F:$F,B188),"")</f>
        <v>0.41</v>
      </c>
      <c r="F188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Master'!$F:$F,B188),"")</f>
        <v>7.3999999999999996E-2</v>
      </c>
      <c r="G188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Master'!$F:$F,B188),"")</f>
        <v>143</v>
      </c>
      <c r="H188">
        <f>IF(AND(ISNUMBER(C188),C188&gt;='Bulk Calculator'!U19/('Bulk Calculator'!J19*'Bulk Calculator'!L19)),1,0)</f>
        <v>1</v>
      </c>
      <c r="I188">
        <f>IFERROR(IF(AND(ISNUMBER(E188),ISNUMBER(F188),E188&gt;0,F188&gt;0),SQRT(3)*'Bulk Calculator'!O19*'Bulk Calculator'!AA19*((E188*'Bulk Calculator'!Q19)+(F188*SQRT(1-'Bulk Calculator'!Q19^2)))/'Bulk Calculator'!J19/'Bulk Calculator'!K19*100,D188*'Bulk Calculator'!AA19*'Bulk Calculator'!O19/'Bulk Calculator'!J19/'Bulk Calculator'!K19*100),"")</f>
        <v>0</v>
      </c>
      <c r="J188">
        <f>IFERROR(IF(AND(ISNUMBER(E188),ISNUMBER(F188),E188&gt;0,F188&gt;0),SQRT(3)*'Bulk Calculator'!O19*'Bulk Calculator'!U19*((E188*'Bulk Calculator'!M19)+(F188*SQRT(1-'Bulk Calculator'!M19^2)))/'Bulk Calculator'!J19/'Bulk Calculator'!K19*100,D188*'Bulk Calculator'!U19*'Bulk Calculator'!O19/'Bulk Calculator'!J19/'Bulk Calculator'!K19*100),"")</f>
        <v>0</v>
      </c>
      <c r="K188">
        <f>IFERROR(G188*B188*'Bulk Calculator'!J19/SQRT('Bulk Calculator'!S19)/1000,"")</f>
        <v>30.376983474334644</v>
      </c>
      <c r="L188">
        <f>IF(OR('Bulk Calculator'!R19="",'Bulk Calculator'!S19="",G188=""),0,IF(K188&gt;='Bulk Calculator'!R19,1,0))</f>
        <v>1</v>
      </c>
      <c r="M188">
        <f>IF(AND(H188=1,I188&lt;='OS-DORAEN'!$B$6,J188&lt;='OS-DORAEN'!$B$5,L188=1),1,0)</f>
        <v>1</v>
      </c>
      <c r="N188" t="str">
        <f t="shared" si="2"/>
        <v>R/X</v>
      </c>
    </row>
    <row r="189" spans="1:14" ht="15" customHeight="1" x14ac:dyDescent="0.35">
      <c r="A189">
        <v>19</v>
      </c>
      <c r="B189">
        <v>70</v>
      </c>
      <c r="C189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Master'!$F:$F,B189),"")</f>
        <v>179</v>
      </c>
      <c r="D189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Master'!$F:$F,B189),"")</f>
        <v>0.56699999999999995</v>
      </c>
      <c r="E189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Master'!$F:$F,B189),"")</f>
        <v>0.56699999999999995</v>
      </c>
      <c r="F189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Master'!$F:$F,B189),"")</f>
        <v>7.6999999999999999E-2</v>
      </c>
      <c r="G189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Master'!$F:$F,B189),"")</f>
        <v>143</v>
      </c>
      <c r="H189">
        <f>IF(AND(ISNUMBER(C189),C189&gt;='Bulk Calculator'!U19/('Bulk Calculator'!J19*'Bulk Calculator'!L19)),1,0)</f>
        <v>1</v>
      </c>
      <c r="I189">
        <f>IFERROR(IF(AND(ISNUMBER(E189),ISNUMBER(F189),E189&gt;0,F189&gt;0),SQRT(3)*'Bulk Calculator'!O19*'Bulk Calculator'!AA19*((E189*'Bulk Calculator'!Q19)+(F189*SQRT(1-'Bulk Calculator'!Q19^2)))/'Bulk Calculator'!J19/'Bulk Calculator'!K19*100,D189*'Bulk Calculator'!AA19*'Bulk Calculator'!O19/'Bulk Calculator'!J19/'Bulk Calculator'!K19*100),"")</f>
        <v>0</v>
      </c>
      <c r="J189">
        <f>IFERROR(IF(AND(ISNUMBER(E189),ISNUMBER(F189),E189&gt;0,F189&gt;0),SQRT(3)*'Bulk Calculator'!O19*'Bulk Calculator'!U19*((E189*'Bulk Calculator'!M19)+(F189*SQRT(1-'Bulk Calculator'!M19^2)))/'Bulk Calculator'!J19/'Bulk Calculator'!K19*100,D189*'Bulk Calculator'!U19*'Bulk Calculator'!O19/'Bulk Calculator'!J19/'Bulk Calculator'!K19*100),"")</f>
        <v>0</v>
      </c>
      <c r="K189">
        <f>IFERROR(G189*B189*'Bulk Calculator'!J19/SQRT('Bulk Calculator'!S19)/1000,"")</f>
        <v>22.383040454772893</v>
      </c>
      <c r="L189">
        <f>IF(OR('Bulk Calculator'!R19="",'Bulk Calculator'!S19="",G189=""),0,IF(K189&gt;='Bulk Calculator'!R19,1,0))</f>
        <v>1</v>
      </c>
      <c r="M189">
        <f>IF(AND(H189=1,I189&lt;='OS-DORAEN'!$B$6,J189&lt;='OS-DORAEN'!$B$5,L189=1),1,0)</f>
        <v>1</v>
      </c>
      <c r="N189" t="str">
        <f t="shared" si="2"/>
        <v>R/X</v>
      </c>
    </row>
    <row r="190" spans="1:14" ht="15" customHeight="1" x14ac:dyDescent="0.35">
      <c r="A190">
        <v>19</v>
      </c>
      <c r="B190">
        <v>50</v>
      </c>
      <c r="C190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Master'!$F:$F,B190),"")</f>
        <v>142</v>
      </c>
      <c r="D190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Master'!$F:$F,B190),"")</f>
        <v>0.82</v>
      </c>
      <c r="E190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Master'!$F:$F,B190),"")</f>
        <v>0.82</v>
      </c>
      <c r="F190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Master'!$F:$F,B190),"")</f>
        <v>7.8E-2</v>
      </c>
      <c r="G190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Master'!$F:$F,B190),"")</f>
        <v>143</v>
      </c>
      <c r="H190">
        <f>IF(AND(ISNUMBER(C190),C190&gt;='Bulk Calculator'!U19/('Bulk Calculator'!J19*'Bulk Calculator'!L19)),1,0)</f>
        <v>1</v>
      </c>
      <c r="I190">
        <f>IFERROR(IF(AND(ISNUMBER(E190),ISNUMBER(F190),E190&gt;0,F190&gt;0),SQRT(3)*'Bulk Calculator'!O19*'Bulk Calculator'!AA19*((E190*'Bulk Calculator'!Q19)+(F190*SQRT(1-'Bulk Calculator'!Q19^2)))/'Bulk Calculator'!J19/'Bulk Calculator'!K19*100,D190*'Bulk Calculator'!AA19*'Bulk Calculator'!O19/'Bulk Calculator'!J19/'Bulk Calculator'!K19*100),"")</f>
        <v>0</v>
      </c>
      <c r="J190">
        <f>IFERROR(IF(AND(ISNUMBER(E190),ISNUMBER(F190),E190&gt;0,F190&gt;0),SQRT(3)*'Bulk Calculator'!O19*'Bulk Calculator'!U19*((E190*'Bulk Calculator'!M19)+(F190*SQRT(1-'Bulk Calculator'!M19^2)))/'Bulk Calculator'!J19/'Bulk Calculator'!K19*100,D190*'Bulk Calculator'!U19*'Bulk Calculator'!O19/'Bulk Calculator'!J19/'Bulk Calculator'!K19*100),"")</f>
        <v>0</v>
      </c>
      <c r="K190">
        <f>IFERROR(G190*B190*'Bulk Calculator'!J19/SQRT('Bulk Calculator'!S19)/1000,"")</f>
        <v>15.987886039123497</v>
      </c>
      <c r="L190">
        <f>IF(OR('Bulk Calculator'!R19="",'Bulk Calculator'!S19="",G190=""),0,IF(K190&gt;='Bulk Calculator'!R19,1,0))</f>
        <v>1</v>
      </c>
      <c r="M190">
        <f>IF(AND(H190=1,I190&lt;='OS-DORAEN'!$B$6,J190&lt;='OS-DORAEN'!$B$5,L190=1),1,0)</f>
        <v>1</v>
      </c>
      <c r="N190" t="str">
        <f t="shared" si="2"/>
        <v>R/X</v>
      </c>
    </row>
    <row r="191" spans="1:14" ht="15" customHeight="1" x14ac:dyDescent="0.35">
      <c r="A191">
        <v>19</v>
      </c>
      <c r="B191">
        <v>35</v>
      </c>
      <c r="C191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Master'!$F:$F,B191),"")</f>
        <v>117</v>
      </c>
      <c r="D191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Master'!$F:$F,B191),"")</f>
        <v>1.1100000000000001</v>
      </c>
      <c r="E191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Master'!$F:$F,B191),"")</f>
        <v>1.1100000000000001</v>
      </c>
      <c r="F191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Master'!$F:$F,B191),"")</f>
        <v>0.08</v>
      </c>
      <c r="G191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Master'!$F:$F,B191),"")</f>
        <v>143</v>
      </c>
      <c r="H191">
        <f>IF(AND(ISNUMBER(C191),C191&gt;='Bulk Calculator'!U19/('Bulk Calculator'!J19*'Bulk Calculator'!L19)),1,0)</f>
        <v>1</v>
      </c>
      <c r="I191">
        <f>IFERROR(IF(AND(ISNUMBER(E191),ISNUMBER(F191),E191&gt;0,F191&gt;0),SQRT(3)*'Bulk Calculator'!O19*'Bulk Calculator'!AA19*((E191*'Bulk Calculator'!Q19)+(F191*SQRT(1-'Bulk Calculator'!Q19^2)))/'Bulk Calculator'!J19/'Bulk Calculator'!K19*100,D191*'Bulk Calculator'!AA19*'Bulk Calculator'!O19/'Bulk Calculator'!J19/'Bulk Calculator'!K19*100),"")</f>
        <v>0</v>
      </c>
      <c r="J191">
        <f>IFERROR(IF(AND(ISNUMBER(E191),ISNUMBER(F191),E191&gt;0,F191&gt;0),SQRT(3)*'Bulk Calculator'!O19*'Bulk Calculator'!U19*((E191*'Bulk Calculator'!M19)+(F191*SQRT(1-'Bulk Calculator'!M19^2)))/'Bulk Calculator'!J19/'Bulk Calculator'!K19*100,D191*'Bulk Calculator'!U19*'Bulk Calculator'!O19/'Bulk Calculator'!J19/'Bulk Calculator'!K19*100),"")</f>
        <v>0</v>
      </c>
      <c r="K191">
        <f>IFERROR(G191*B191*'Bulk Calculator'!J19/SQRT('Bulk Calculator'!S19)/1000,"")</f>
        <v>11.191520227386446</v>
      </c>
      <c r="L191">
        <f>IF(OR('Bulk Calculator'!R19="",'Bulk Calculator'!S19="",G191=""),0,IF(K191&gt;='Bulk Calculator'!R19,1,0))</f>
        <v>1</v>
      </c>
      <c r="M191">
        <f>IF(AND(H191=1,I191&lt;='OS-DORAEN'!$B$6,J191&lt;='OS-DORAEN'!$B$5,L191=1),1,0)</f>
        <v>1</v>
      </c>
      <c r="N191" t="str">
        <f t="shared" si="2"/>
        <v>R/X</v>
      </c>
    </row>
    <row r="192" spans="1:14" ht="15" customHeight="1" x14ac:dyDescent="0.35">
      <c r="A192">
        <v>19</v>
      </c>
      <c r="B192">
        <v>25</v>
      </c>
      <c r="C192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Master'!$F:$F,B192),"")</f>
        <v>96</v>
      </c>
      <c r="D192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Master'!$F:$F,B192),"")</f>
        <v>1.54</v>
      </c>
      <c r="E192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Master'!$F:$F,B192),"")</f>
        <v>1.54</v>
      </c>
      <c r="F192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Master'!$F:$F,B192),"")</f>
        <v>0.08</v>
      </c>
      <c r="G192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Master'!$F:$F,B192),"")</f>
        <v>143</v>
      </c>
      <c r="H192">
        <f>IF(AND(ISNUMBER(C192),C192&gt;='Bulk Calculator'!U19/('Bulk Calculator'!J19*'Bulk Calculator'!L19)),1,0)</f>
        <v>1</v>
      </c>
      <c r="I192">
        <f>IFERROR(IF(AND(ISNUMBER(E192),ISNUMBER(F192),E192&gt;0,F192&gt;0),SQRT(3)*'Bulk Calculator'!O19*'Bulk Calculator'!AA19*((E192*'Bulk Calculator'!Q19)+(F192*SQRT(1-'Bulk Calculator'!Q19^2)))/'Bulk Calculator'!J19/'Bulk Calculator'!K19*100,D192*'Bulk Calculator'!AA19*'Bulk Calculator'!O19/'Bulk Calculator'!J19/'Bulk Calculator'!K19*100),"")</f>
        <v>0</v>
      </c>
      <c r="J192">
        <f>IFERROR(IF(AND(ISNUMBER(E192),ISNUMBER(F192),E192&gt;0,F192&gt;0),SQRT(3)*'Bulk Calculator'!O19*'Bulk Calculator'!U19*((E192*'Bulk Calculator'!M19)+(F192*SQRT(1-'Bulk Calculator'!M19^2)))/'Bulk Calculator'!J19/'Bulk Calculator'!K19*100,D192*'Bulk Calculator'!U19*'Bulk Calculator'!O19/'Bulk Calculator'!J19/'Bulk Calculator'!K19*100),"")</f>
        <v>0</v>
      </c>
      <c r="K192">
        <f>IFERROR(G192*B192*'Bulk Calculator'!J19/SQRT('Bulk Calculator'!S19)/1000,"")</f>
        <v>7.9939430195617485</v>
      </c>
      <c r="L192">
        <f>IF(OR('Bulk Calculator'!R19="",'Bulk Calculator'!S19="",G192=""),0,IF(K192&gt;='Bulk Calculator'!R19,1,0))</f>
        <v>1</v>
      </c>
      <c r="M192">
        <f>IF(AND(H192=1,I192&lt;='OS-DORAEN'!$B$6,J192&lt;='OS-DORAEN'!$B$5,L192=1),1,0)</f>
        <v>1</v>
      </c>
      <c r="N192" t="str">
        <f t="shared" si="2"/>
        <v>R/X</v>
      </c>
    </row>
    <row r="193" spans="1:14" ht="15" customHeight="1" x14ac:dyDescent="0.35">
      <c r="A193">
        <v>19</v>
      </c>
      <c r="B193">
        <v>16</v>
      </c>
      <c r="C193">
        <f>IFERROR(SUMIFS('Cable Data Master'!$G:$G,'Cable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Master'!$F:$F,B193),"")</f>
        <v>0</v>
      </c>
      <c r="D193">
        <f>IFERROR(SUMIFS('Cable Data Master'!$K:$K,'Cable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Master'!$F:$F,B193),"")</f>
        <v>0</v>
      </c>
      <c r="E193">
        <f>IFERROR(SUMIFS('Cable Data Master'!$H:$H,'Cable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Master'!$F:$F,B193),"")</f>
        <v>0</v>
      </c>
      <c r="F193">
        <f>IFERROR(SUMIFS('Cable Data Master'!$I:$I,'Cable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Master'!$F:$F,B193),"")</f>
        <v>0</v>
      </c>
      <c r="G193">
        <f>IFERROR(SUMIFS('Cable Data Master'!$J:$J,'Cable Data Master'!$A:$A,'Bulk Calculator'!$BF19,'Cable Data Master'!$B:$B,'Bulk Calculator'!$BG19,'Cable Data Master'!$C:$C,'Bulk Calculator'!$BH19,'Cable Data Master'!$D:$D,'Bulk Calculator'!$BI19,'Cable Data Master'!$E:$E,'Bulk Calculator'!$BJ19,'Cable Data Master'!$F:$F,B193),"")</f>
        <v>0</v>
      </c>
      <c r="H193">
        <f>IF(AND(ISNUMBER(C193),C193&gt;='Bulk Calculator'!U19/('Bulk Calculator'!J19*'Bulk Calculator'!L19)),1,0)</f>
        <v>1</v>
      </c>
      <c r="I193">
        <f>IFERROR(IF(AND(ISNUMBER(E193),ISNUMBER(F193),E193&gt;0,F193&gt;0),SQRT(3)*'Bulk Calculator'!O19*'Bulk Calculator'!AA19*((E193*'Bulk Calculator'!Q19)+(F193*SQRT(1-'Bulk Calculator'!Q19^2)))/'Bulk Calculator'!J19/'Bulk Calculator'!K19*100,D193*'Bulk Calculator'!AA19*'Bulk Calculator'!O19/'Bulk Calculator'!J19/'Bulk Calculator'!K19*100),"")</f>
        <v>0</v>
      </c>
      <c r="J193">
        <f>IFERROR(IF(AND(ISNUMBER(E193),ISNUMBER(F193),E193&gt;0,F193&gt;0),SQRT(3)*'Bulk Calculator'!O19*'Bulk Calculator'!U19*((E193*'Bulk Calculator'!M19)+(F193*SQRT(1-'Bulk Calculator'!M19^2)))/'Bulk Calculator'!J19/'Bulk Calculator'!K19*100,D193*'Bulk Calculator'!U19*'Bulk Calculator'!O19/'Bulk Calculator'!J19/'Bulk Calculator'!K19*100),"")</f>
        <v>0</v>
      </c>
      <c r="K193">
        <f>IFERROR(G193*B193*'Bulk Calculator'!J19/SQRT('Bulk Calculator'!S19)/1000,"")</f>
        <v>0</v>
      </c>
      <c r="L193">
        <f>IF(OR('Bulk Calculator'!R19="",'Bulk Calculator'!S19="",G193=""),0,IF(K193&gt;='Bulk Calculator'!R19,1,0))</f>
        <v>1</v>
      </c>
      <c r="M193">
        <f>IF(AND(H193=1,I193&lt;='OS-DORAEN'!$B$6,J193&lt;='OS-DORAEN'!$B$5,L193=1),1,0)</f>
        <v>1</v>
      </c>
      <c r="N193" t="str">
        <f t="shared" si="2"/>
        <v>Manufacturer VD Ref</v>
      </c>
    </row>
    <row r="194" spans="1:14" ht="15" customHeight="1" x14ac:dyDescent="0.35">
      <c r="A194">
        <v>20</v>
      </c>
      <c r="B194">
        <v>400</v>
      </c>
      <c r="C194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Master'!$F:$F,B194),"")</f>
        <v>530</v>
      </c>
      <c r="D194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Master'!$F:$F,B194),"")</f>
        <v>0.1023</v>
      </c>
      <c r="E194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Master'!$F:$F,B194),"")</f>
        <v>0.1023</v>
      </c>
      <c r="F194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Master'!$F:$F,B194),"")</f>
        <v>7.0000000000000007E-2</v>
      </c>
      <c r="G194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Master'!$F:$F,B194),"")</f>
        <v>143</v>
      </c>
      <c r="H194">
        <f>IF(AND(ISNUMBER(C194),C194&gt;='Bulk Calculator'!U20/('Bulk Calculator'!J20*'Bulk Calculator'!L20)),1,0)</f>
        <v>1</v>
      </c>
      <c r="I194">
        <f>IFERROR(IF(AND(ISNUMBER(E194),ISNUMBER(F194),E194&gt;0,F194&gt;0),SQRT(3)*'Bulk Calculator'!O20*'Bulk Calculator'!AA20*((E194*'Bulk Calculator'!Q20)+(F194*SQRT(1-'Bulk Calculator'!Q20^2)))/'Bulk Calculator'!J20/'Bulk Calculator'!K20*100,D194*'Bulk Calculator'!AA20*'Bulk Calculator'!O20/'Bulk Calculator'!J20/'Bulk Calculator'!K20*100),"")</f>
        <v>0</v>
      </c>
      <c r="J194">
        <f>IFERROR(IF(AND(ISNUMBER(E194),ISNUMBER(F194),E194&gt;0,F194&gt;0),SQRT(3)*'Bulk Calculator'!O20*'Bulk Calculator'!U20*((E194*'Bulk Calculator'!M20)+(F194*SQRT(1-'Bulk Calculator'!M20^2)))/'Bulk Calculator'!J20/'Bulk Calculator'!K20*100,D194*'Bulk Calculator'!U20*'Bulk Calculator'!O20/'Bulk Calculator'!J20/'Bulk Calculator'!K20*100),"")</f>
        <v>0</v>
      </c>
      <c r="K194">
        <f>IFERROR(G194*B194*'Bulk Calculator'!J20/SQRT('Bulk Calculator'!S20)/1000,"")</f>
        <v>127.90308831298798</v>
      </c>
      <c r="L194">
        <f>IF(OR('Bulk Calculator'!R20="",'Bulk Calculator'!S20="",G194=""),0,IF(K194&gt;='Bulk Calculator'!R20,1,0))</f>
        <v>1</v>
      </c>
      <c r="M194">
        <f>IF(AND(H194=1,I194&lt;='OS-DORAEN'!$B$6,J194&lt;='OS-DORAEN'!$B$5,L194=1),1,0)</f>
        <v>1</v>
      </c>
      <c r="N194" t="str">
        <f t="shared" ref="N194:N257" si="3">IF(AND(ISNUMBER(E194),ISNUMBER(F194),E194&gt;0,F194&gt;0),"R/X","Manufacturer VD Ref")</f>
        <v>R/X</v>
      </c>
    </row>
    <row r="195" spans="1:14" ht="15" customHeight="1" x14ac:dyDescent="0.35">
      <c r="A195">
        <v>20</v>
      </c>
      <c r="B195">
        <v>300</v>
      </c>
      <c r="C195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Master'!$F:$F,B195),"")</f>
        <v>455</v>
      </c>
      <c r="D195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Master'!$F:$F,B195),"")</f>
        <v>0.13</v>
      </c>
      <c r="E195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Master'!$F:$F,B195),"")</f>
        <v>0.13</v>
      </c>
      <c r="F195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Master'!$F:$F,B195),"")</f>
        <v>7.0999999999999994E-2</v>
      </c>
      <c r="G195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Master'!$F:$F,B195),"")</f>
        <v>143</v>
      </c>
      <c r="H195">
        <f>IF(AND(ISNUMBER(C195),C195&gt;='Bulk Calculator'!U20/('Bulk Calculator'!J20*'Bulk Calculator'!L20)),1,0)</f>
        <v>1</v>
      </c>
      <c r="I195">
        <f>IFERROR(IF(AND(ISNUMBER(E195),ISNUMBER(F195),E195&gt;0,F195&gt;0),SQRT(3)*'Bulk Calculator'!O20*'Bulk Calculator'!AA20*((E195*'Bulk Calculator'!Q20)+(F195*SQRT(1-'Bulk Calculator'!Q20^2)))/'Bulk Calculator'!J20/'Bulk Calculator'!K20*100,D195*'Bulk Calculator'!AA20*'Bulk Calculator'!O20/'Bulk Calculator'!J20/'Bulk Calculator'!K20*100),"")</f>
        <v>0</v>
      </c>
      <c r="J195">
        <f>IFERROR(IF(AND(ISNUMBER(E195),ISNUMBER(F195),E195&gt;0,F195&gt;0),SQRT(3)*'Bulk Calculator'!O20*'Bulk Calculator'!U20*((E195*'Bulk Calculator'!M20)+(F195*SQRT(1-'Bulk Calculator'!M20^2)))/'Bulk Calculator'!J20/'Bulk Calculator'!K20*100,D195*'Bulk Calculator'!U20*'Bulk Calculator'!O20/'Bulk Calculator'!J20/'Bulk Calculator'!K20*100),"")</f>
        <v>0</v>
      </c>
      <c r="K195">
        <f>IFERROR(G195*B195*'Bulk Calculator'!J20/SQRT('Bulk Calculator'!S20)/1000,"")</f>
        <v>95.927316234740985</v>
      </c>
      <c r="L195">
        <f>IF(OR('Bulk Calculator'!R20="",'Bulk Calculator'!S20="",G195=""),0,IF(K195&gt;='Bulk Calculator'!R20,1,0))</f>
        <v>1</v>
      </c>
      <c r="M195">
        <f>IF(AND(H195=1,I195&lt;='OS-DORAEN'!$B$6,J195&lt;='OS-DORAEN'!$B$5,L195=1),1,0)</f>
        <v>1</v>
      </c>
      <c r="N195" t="str">
        <f t="shared" si="3"/>
        <v>R/X</v>
      </c>
    </row>
    <row r="196" spans="1:14" ht="15" customHeight="1" x14ac:dyDescent="0.35">
      <c r="A196">
        <v>20</v>
      </c>
      <c r="B196">
        <v>240</v>
      </c>
      <c r="C196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Master'!$F:$F,B196),"")</f>
        <v>399</v>
      </c>
      <c r="D196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Master'!$F:$F,B196),"")</f>
        <v>0.16200000000000001</v>
      </c>
      <c r="E196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Master'!$F:$F,B196),"")</f>
        <v>0.16200000000000001</v>
      </c>
      <c r="F196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Master'!$F:$F,B196),"")</f>
        <v>7.1999999999999995E-2</v>
      </c>
      <c r="G196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Master'!$F:$F,B196),"")</f>
        <v>143</v>
      </c>
      <c r="H196">
        <f>IF(AND(ISNUMBER(C196),C196&gt;='Bulk Calculator'!U20/('Bulk Calculator'!J20*'Bulk Calculator'!L20)),1,0)</f>
        <v>1</v>
      </c>
      <c r="I196">
        <f>IFERROR(IF(AND(ISNUMBER(E196),ISNUMBER(F196),E196&gt;0,F196&gt;0),SQRT(3)*'Bulk Calculator'!O20*'Bulk Calculator'!AA20*((E196*'Bulk Calculator'!Q20)+(F196*SQRT(1-'Bulk Calculator'!Q20^2)))/'Bulk Calculator'!J20/'Bulk Calculator'!K20*100,D196*'Bulk Calculator'!AA20*'Bulk Calculator'!O20/'Bulk Calculator'!J20/'Bulk Calculator'!K20*100),"")</f>
        <v>0</v>
      </c>
      <c r="J196">
        <f>IFERROR(IF(AND(ISNUMBER(E196),ISNUMBER(F196),E196&gt;0,F196&gt;0),SQRT(3)*'Bulk Calculator'!O20*'Bulk Calculator'!U20*((E196*'Bulk Calculator'!M20)+(F196*SQRT(1-'Bulk Calculator'!M20^2)))/'Bulk Calculator'!J20/'Bulk Calculator'!K20*100,D196*'Bulk Calculator'!U20*'Bulk Calculator'!O20/'Bulk Calculator'!J20/'Bulk Calculator'!K20*100),"")</f>
        <v>0</v>
      </c>
      <c r="K196">
        <f>IFERROR(G196*B196*'Bulk Calculator'!J20/SQRT('Bulk Calculator'!S20)/1000,"")</f>
        <v>76.741852987792782</v>
      </c>
      <c r="L196">
        <f>IF(OR('Bulk Calculator'!R20="",'Bulk Calculator'!S20="",G196=""),0,IF(K196&gt;='Bulk Calculator'!R20,1,0))</f>
        <v>1</v>
      </c>
      <c r="M196">
        <f>IF(AND(H196=1,I196&lt;='OS-DORAEN'!$B$6,J196&lt;='OS-DORAEN'!$B$5,L196=1),1,0)</f>
        <v>1</v>
      </c>
      <c r="N196" t="str">
        <f t="shared" si="3"/>
        <v>R/X</v>
      </c>
    </row>
    <row r="197" spans="1:14" ht="15" customHeight="1" x14ac:dyDescent="0.35">
      <c r="A197">
        <v>20</v>
      </c>
      <c r="B197">
        <v>185</v>
      </c>
      <c r="C197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Master'!$F:$F,B197),"")</f>
        <v>337</v>
      </c>
      <c r="D197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Master'!$F:$F,B197),"")</f>
        <v>0.21099999999999999</v>
      </c>
      <c r="E197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Master'!$F:$F,B197),"")</f>
        <v>0.21099999999999999</v>
      </c>
      <c r="F197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Master'!$F:$F,B197),"")</f>
        <v>7.1999999999999995E-2</v>
      </c>
      <c r="G197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Master'!$F:$F,B197),"")</f>
        <v>143</v>
      </c>
      <c r="H197">
        <f>IF(AND(ISNUMBER(C197),C197&gt;='Bulk Calculator'!U20/('Bulk Calculator'!J20*'Bulk Calculator'!L20)),1,0)</f>
        <v>1</v>
      </c>
      <c r="I197">
        <f>IFERROR(IF(AND(ISNUMBER(E197),ISNUMBER(F197),E197&gt;0,F197&gt;0),SQRT(3)*'Bulk Calculator'!O20*'Bulk Calculator'!AA20*((E197*'Bulk Calculator'!Q20)+(F197*SQRT(1-'Bulk Calculator'!Q20^2)))/'Bulk Calculator'!J20/'Bulk Calculator'!K20*100,D197*'Bulk Calculator'!AA20*'Bulk Calculator'!O20/'Bulk Calculator'!J20/'Bulk Calculator'!K20*100),"")</f>
        <v>0</v>
      </c>
      <c r="J197">
        <f>IFERROR(IF(AND(ISNUMBER(E197),ISNUMBER(F197),E197&gt;0,F197&gt;0),SQRT(3)*'Bulk Calculator'!O20*'Bulk Calculator'!U20*((E197*'Bulk Calculator'!M20)+(F197*SQRT(1-'Bulk Calculator'!M20^2)))/'Bulk Calculator'!J20/'Bulk Calculator'!K20*100,D197*'Bulk Calculator'!U20*'Bulk Calculator'!O20/'Bulk Calculator'!J20/'Bulk Calculator'!K20*100),"")</f>
        <v>0</v>
      </c>
      <c r="K197">
        <f>IFERROR(G197*B197*'Bulk Calculator'!J20/SQRT('Bulk Calculator'!S20)/1000,"")</f>
        <v>59.155178344756941</v>
      </c>
      <c r="L197">
        <f>IF(OR('Bulk Calculator'!R20="",'Bulk Calculator'!S20="",G197=""),0,IF(K197&gt;='Bulk Calculator'!R20,1,0))</f>
        <v>1</v>
      </c>
      <c r="M197">
        <f>IF(AND(H197=1,I197&lt;='OS-DORAEN'!$B$6,J197&lt;='OS-DORAEN'!$B$5,L197=1),1,0)</f>
        <v>1</v>
      </c>
      <c r="N197" t="str">
        <f t="shared" si="3"/>
        <v>R/X</v>
      </c>
    </row>
    <row r="198" spans="1:14" ht="15" customHeight="1" x14ac:dyDescent="0.35">
      <c r="A198">
        <v>20</v>
      </c>
      <c r="B198">
        <v>150</v>
      </c>
      <c r="C198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Master'!$F:$F,B198),"")</f>
        <v>292</v>
      </c>
      <c r="D198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Master'!$F:$F,B198),"")</f>
        <v>0.26500000000000001</v>
      </c>
      <c r="E198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Master'!$F:$F,B198),"")</f>
        <v>0.26500000000000001</v>
      </c>
      <c r="F198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Master'!$F:$F,B198),"")</f>
        <v>7.1999999999999995E-2</v>
      </c>
      <c r="G198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Master'!$F:$F,B198),"")</f>
        <v>143</v>
      </c>
      <c r="H198">
        <f>IF(AND(ISNUMBER(C198),C198&gt;='Bulk Calculator'!U20/('Bulk Calculator'!J20*'Bulk Calculator'!L20)),1,0)</f>
        <v>1</v>
      </c>
      <c r="I198">
        <f>IFERROR(IF(AND(ISNUMBER(E198),ISNUMBER(F198),E198&gt;0,F198&gt;0),SQRT(3)*'Bulk Calculator'!O20*'Bulk Calculator'!AA20*((E198*'Bulk Calculator'!Q20)+(F198*SQRT(1-'Bulk Calculator'!Q20^2)))/'Bulk Calculator'!J20/'Bulk Calculator'!K20*100,D198*'Bulk Calculator'!AA20*'Bulk Calculator'!O20/'Bulk Calculator'!J20/'Bulk Calculator'!K20*100),"")</f>
        <v>0</v>
      </c>
      <c r="J198">
        <f>IFERROR(IF(AND(ISNUMBER(E198),ISNUMBER(F198),E198&gt;0,F198&gt;0),SQRT(3)*'Bulk Calculator'!O20*'Bulk Calculator'!U20*((E198*'Bulk Calculator'!M20)+(F198*SQRT(1-'Bulk Calculator'!M20^2)))/'Bulk Calculator'!J20/'Bulk Calculator'!K20*100,D198*'Bulk Calculator'!U20*'Bulk Calculator'!O20/'Bulk Calculator'!J20/'Bulk Calculator'!K20*100),"")</f>
        <v>0</v>
      </c>
      <c r="K198">
        <f>IFERROR(G198*B198*'Bulk Calculator'!J20/SQRT('Bulk Calculator'!S20)/1000,"")</f>
        <v>47.963658117370493</v>
      </c>
      <c r="L198">
        <f>IF(OR('Bulk Calculator'!R20="",'Bulk Calculator'!S20="",G198=""),0,IF(K198&gt;='Bulk Calculator'!R20,1,0))</f>
        <v>1</v>
      </c>
      <c r="M198">
        <f>IF(AND(H198=1,I198&lt;='OS-DORAEN'!$B$6,J198&lt;='OS-DORAEN'!$B$5,L198=1),1,0)</f>
        <v>1</v>
      </c>
      <c r="N198" t="str">
        <f t="shared" si="3"/>
        <v>R/X</v>
      </c>
    </row>
    <row r="199" spans="1:14" ht="15" customHeight="1" x14ac:dyDescent="0.35">
      <c r="A199">
        <v>20</v>
      </c>
      <c r="B199">
        <v>120</v>
      </c>
      <c r="C199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Master'!$F:$F,B199),"")</f>
        <v>257</v>
      </c>
      <c r="D199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Master'!$F:$F,B199),"")</f>
        <v>0.32500000000000001</v>
      </c>
      <c r="E199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Master'!$F:$F,B199),"")</f>
        <v>0.32500000000000001</v>
      </c>
      <c r="F199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Master'!$F:$F,B199),"")</f>
        <v>7.1999999999999995E-2</v>
      </c>
      <c r="G199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Master'!$F:$F,B199),"")</f>
        <v>143</v>
      </c>
      <c r="H199">
        <f>IF(AND(ISNUMBER(C199),C199&gt;='Bulk Calculator'!U20/('Bulk Calculator'!J20*'Bulk Calculator'!L20)),1,0)</f>
        <v>1</v>
      </c>
      <c r="I199">
        <f>IFERROR(IF(AND(ISNUMBER(E199),ISNUMBER(F199),E199&gt;0,F199&gt;0),SQRT(3)*'Bulk Calculator'!O20*'Bulk Calculator'!AA20*((E199*'Bulk Calculator'!Q20)+(F199*SQRT(1-'Bulk Calculator'!Q20^2)))/'Bulk Calculator'!J20/'Bulk Calculator'!K20*100,D199*'Bulk Calculator'!AA20*'Bulk Calculator'!O20/'Bulk Calculator'!J20/'Bulk Calculator'!K20*100),"")</f>
        <v>0</v>
      </c>
      <c r="J199">
        <f>IFERROR(IF(AND(ISNUMBER(E199),ISNUMBER(F199),E199&gt;0,F199&gt;0),SQRT(3)*'Bulk Calculator'!O20*'Bulk Calculator'!U20*((E199*'Bulk Calculator'!M20)+(F199*SQRT(1-'Bulk Calculator'!M20^2)))/'Bulk Calculator'!J20/'Bulk Calculator'!K20*100,D199*'Bulk Calculator'!U20*'Bulk Calculator'!O20/'Bulk Calculator'!J20/'Bulk Calculator'!K20*100),"")</f>
        <v>0</v>
      </c>
      <c r="K199">
        <f>IFERROR(G199*B199*'Bulk Calculator'!J20/SQRT('Bulk Calculator'!S20)/1000,"")</f>
        <v>38.370926493896391</v>
      </c>
      <c r="L199">
        <f>IF(OR('Bulk Calculator'!R20="",'Bulk Calculator'!S20="",G199=""),0,IF(K199&gt;='Bulk Calculator'!R20,1,0))</f>
        <v>1</v>
      </c>
      <c r="M199">
        <f>IF(AND(H199=1,I199&lt;='OS-DORAEN'!$B$6,J199&lt;='OS-DORAEN'!$B$5,L199=1),1,0)</f>
        <v>1</v>
      </c>
      <c r="N199" t="str">
        <f t="shared" si="3"/>
        <v>R/X</v>
      </c>
    </row>
    <row r="200" spans="1:14" ht="15" customHeight="1" x14ac:dyDescent="0.35">
      <c r="A200">
        <v>20</v>
      </c>
      <c r="B200">
        <v>95</v>
      </c>
      <c r="C200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Master'!$F:$F,B200),"")</f>
        <v>221</v>
      </c>
      <c r="D200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Master'!$F:$F,B200),"")</f>
        <v>0.41</v>
      </c>
      <c r="E200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Master'!$F:$F,B200),"")</f>
        <v>0.41</v>
      </c>
      <c r="F200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Master'!$F:$F,B200),"")</f>
        <v>7.3999999999999996E-2</v>
      </c>
      <c r="G200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Master'!$F:$F,B200),"")</f>
        <v>143</v>
      </c>
      <c r="H200">
        <f>IF(AND(ISNUMBER(C200),C200&gt;='Bulk Calculator'!U20/('Bulk Calculator'!J20*'Bulk Calculator'!L20)),1,0)</f>
        <v>1</v>
      </c>
      <c r="I200">
        <f>IFERROR(IF(AND(ISNUMBER(E200),ISNUMBER(F200),E200&gt;0,F200&gt;0),SQRT(3)*'Bulk Calculator'!O20*'Bulk Calculator'!AA20*((E200*'Bulk Calculator'!Q20)+(F200*SQRT(1-'Bulk Calculator'!Q20^2)))/'Bulk Calculator'!J20/'Bulk Calculator'!K20*100,D200*'Bulk Calculator'!AA20*'Bulk Calculator'!O20/'Bulk Calculator'!J20/'Bulk Calculator'!K20*100),"")</f>
        <v>0</v>
      </c>
      <c r="J200">
        <f>IFERROR(IF(AND(ISNUMBER(E200),ISNUMBER(F200),E200&gt;0,F200&gt;0),SQRT(3)*'Bulk Calculator'!O20*'Bulk Calculator'!U20*((E200*'Bulk Calculator'!M20)+(F200*SQRT(1-'Bulk Calculator'!M20^2)))/'Bulk Calculator'!J20/'Bulk Calculator'!K20*100,D200*'Bulk Calculator'!U20*'Bulk Calculator'!O20/'Bulk Calculator'!J20/'Bulk Calculator'!K20*100),"")</f>
        <v>0</v>
      </c>
      <c r="K200">
        <f>IFERROR(G200*B200*'Bulk Calculator'!J20/SQRT('Bulk Calculator'!S20)/1000,"")</f>
        <v>30.376983474334644</v>
      </c>
      <c r="L200">
        <f>IF(OR('Bulk Calculator'!R20="",'Bulk Calculator'!S20="",G200=""),0,IF(K200&gt;='Bulk Calculator'!R20,1,0))</f>
        <v>1</v>
      </c>
      <c r="M200">
        <f>IF(AND(H200=1,I200&lt;='OS-DORAEN'!$B$6,J200&lt;='OS-DORAEN'!$B$5,L200=1),1,0)</f>
        <v>1</v>
      </c>
      <c r="N200" t="str">
        <f t="shared" si="3"/>
        <v>R/X</v>
      </c>
    </row>
    <row r="201" spans="1:14" ht="15" customHeight="1" x14ac:dyDescent="0.35">
      <c r="A201">
        <v>20</v>
      </c>
      <c r="B201">
        <v>70</v>
      </c>
      <c r="C201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Master'!$F:$F,B201),"")</f>
        <v>179</v>
      </c>
      <c r="D201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Master'!$F:$F,B201),"")</f>
        <v>0.56699999999999995</v>
      </c>
      <c r="E201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Master'!$F:$F,B201),"")</f>
        <v>0.56699999999999995</v>
      </c>
      <c r="F201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Master'!$F:$F,B201),"")</f>
        <v>7.6999999999999999E-2</v>
      </c>
      <c r="G201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Master'!$F:$F,B201),"")</f>
        <v>143</v>
      </c>
      <c r="H201">
        <f>IF(AND(ISNUMBER(C201),C201&gt;='Bulk Calculator'!U20/('Bulk Calculator'!J20*'Bulk Calculator'!L20)),1,0)</f>
        <v>1</v>
      </c>
      <c r="I201">
        <f>IFERROR(IF(AND(ISNUMBER(E201),ISNUMBER(F201),E201&gt;0,F201&gt;0),SQRT(3)*'Bulk Calculator'!O20*'Bulk Calculator'!AA20*((E201*'Bulk Calculator'!Q20)+(F201*SQRT(1-'Bulk Calculator'!Q20^2)))/'Bulk Calculator'!J20/'Bulk Calculator'!K20*100,D201*'Bulk Calculator'!AA20*'Bulk Calculator'!O20/'Bulk Calculator'!J20/'Bulk Calculator'!K20*100),"")</f>
        <v>0</v>
      </c>
      <c r="J201">
        <f>IFERROR(IF(AND(ISNUMBER(E201),ISNUMBER(F201),E201&gt;0,F201&gt;0),SQRT(3)*'Bulk Calculator'!O20*'Bulk Calculator'!U20*((E201*'Bulk Calculator'!M20)+(F201*SQRT(1-'Bulk Calculator'!M20^2)))/'Bulk Calculator'!J20/'Bulk Calculator'!K20*100,D201*'Bulk Calculator'!U20*'Bulk Calculator'!O20/'Bulk Calculator'!J20/'Bulk Calculator'!K20*100),"")</f>
        <v>0</v>
      </c>
      <c r="K201">
        <f>IFERROR(G201*B201*'Bulk Calculator'!J20/SQRT('Bulk Calculator'!S20)/1000,"")</f>
        <v>22.383040454772893</v>
      </c>
      <c r="L201">
        <f>IF(OR('Bulk Calculator'!R20="",'Bulk Calculator'!S20="",G201=""),0,IF(K201&gt;='Bulk Calculator'!R20,1,0))</f>
        <v>1</v>
      </c>
      <c r="M201">
        <f>IF(AND(H201=1,I201&lt;='OS-DORAEN'!$B$6,J201&lt;='OS-DORAEN'!$B$5,L201=1),1,0)</f>
        <v>1</v>
      </c>
      <c r="N201" t="str">
        <f t="shared" si="3"/>
        <v>R/X</v>
      </c>
    </row>
    <row r="202" spans="1:14" ht="15" customHeight="1" x14ac:dyDescent="0.35">
      <c r="A202">
        <v>20</v>
      </c>
      <c r="B202">
        <v>50</v>
      </c>
      <c r="C202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Master'!$F:$F,B202),"")</f>
        <v>142</v>
      </c>
      <c r="D202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Master'!$F:$F,B202),"")</f>
        <v>0.82</v>
      </c>
      <c r="E202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Master'!$F:$F,B202),"")</f>
        <v>0.82</v>
      </c>
      <c r="F202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Master'!$F:$F,B202),"")</f>
        <v>7.8E-2</v>
      </c>
      <c r="G202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Master'!$F:$F,B202),"")</f>
        <v>143</v>
      </c>
      <c r="H202">
        <f>IF(AND(ISNUMBER(C202),C202&gt;='Bulk Calculator'!U20/('Bulk Calculator'!J20*'Bulk Calculator'!L20)),1,0)</f>
        <v>1</v>
      </c>
      <c r="I202">
        <f>IFERROR(IF(AND(ISNUMBER(E202),ISNUMBER(F202),E202&gt;0,F202&gt;0),SQRT(3)*'Bulk Calculator'!O20*'Bulk Calculator'!AA20*((E202*'Bulk Calculator'!Q20)+(F202*SQRT(1-'Bulk Calculator'!Q20^2)))/'Bulk Calculator'!J20/'Bulk Calculator'!K20*100,D202*'Bulk Calculator'!AA20*'Bulk Calculator'!O20/'Bulk Calculator'!J20/'Bulk Calculator'!K20*100),"")</f>
        <v>0</v>
      </c>
      <c r="J202">
        <f>IFERROR(IF(AND(ISNUMBER(E202),ISNUMBER(F202),E202&gt;0,F202&gt;0),SQRT(3)*'Bulk Calculator'!O20*'Bulk Calculator'!U20*((E202*'Bulk Calculator'!M20)+(F202*SQRT(1-'Bulk Calculator'!M20^2)))/'Bulk Calculator'!J20/'Bulk Calculator'!K20*100,D202*'Bulk Calculator'!U20*'Bulk Calculator'!O20/'Bulk Calculator'!J20/'Bulk Calculator'!K20*100),"")</f>
        <v>0</v>
      </c>
      <c r="K202">
        <f>IFERROR(G202*B202*'Bulk Calculator'!J20/SQRT('Bulk Calculator'!S20)/1000,"")</f>
        <v>15.987886039123497</v>
      </c>
      <c r="L202">
        <f>IF(OR('Bulk Calculator'!R20="",'Bulk Calculator'!S20="",G202=""),0,IF(K202&gt;='Bulk Calculator'!R20,1,0))</f>
        <v>1</v>
      </c>
      <c r="M202">
        <f>IF(AND(H202=1,I202&lt;='OS-DORAEN'!$B$6,J202&lt;='OS-DORAEN'!$B$5,L202=1),1,0)</f>
        <v>1</v>
      </c>
      <c r="N202" t="str">
        <f t="shared" si="3"/>
        <v>R/X</v>
      </c>
    </row>
    <row r="203" spans="1:14" ht="15" customHeight="1" x14ac:dyDescent="0.35">
      <c r="A203">
        <v>20</v>
      </c>
      <c r="B203">
        <v>35</v>
      </c>
      <c r="C203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Master'!$F:$F,B203),"")</f>
        <v>117</v>
      </c>
      <c r="D203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Master'!$F:$F,B203),"")</f>
        <v>1.1100000000000001</v>
      </c>
      <c r="E203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Master'!$F:$F,B203),"")</f>
        <v>1.1100000000000001</v>
      </c>
      <c r="F203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Master'!$F:$F,B203),"")</f>
        <v>0.08</v>
      </c>
      <c r="G203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Master'!$F:$F,B203),"")</f>
        <v>143</v>
      </c>
      <c r="H203">
        <f>IF(AND(ISNUMBER(C203),C203&gt;='Bulk Calculator'!U20/('Bulk Calculator'!J20*'Bulk Calculator'!L20)),1,0)</f>
        <v>1</v>
      </c>
      <c r="I203">
        <f>IFERROR(IF(AND(ISNUMBER(E203),ISNUMBER(F203),E203&gt;0,F203&gt;0),SQRT(3)*'Bulk Calculator'!O20*'Bulk Calculator'!AA20*((E203*'Bulk Calculator'!Q20)+(F203*SQRT(1-'Bulk Calculator'!Q20^2)))/'Bulk Calculator'!J20/'Bulk Calculator'!K20*100,D203*'Bulk Calculator'!AA20*'Bulk Calculator'!O20/'Bulk Calculator'!J20/'Bulk Calculator'!K20*100),"")</f>
        <v>0</v>
      </c>
      <c r="J203">
        <f>IFERROR(IF(AND(ISNUMBER(E203),ISNUMBER(F203),E203&gt;0,F203&gt;0),SQRT(3)*'Bulk Calculator'!O20*'Bulk Calculator'!U20*((E203*'Bulk Calculator'!M20)+(F203*SQRT(1-'Bulk Calculator'!M20^2)))/'Bulk Calculator'!J20/'Bulk Calculator'!K20*100,D203*'Bulk Calculator'!U20*'Bulk Calculator'!O20/'Bulk Calculator'!J20/'Bulk Calculator'!K20*100),"")</f>
        <v>0</v>
      </c>
      <c r="K203">
        <f>IFERROR(G203*B203*'Bulk Calculator'!J20/SQRT('Bulk Calculator'!S20)/1000,"")</f>
        <v>11.191520227386446</v>
      </c>
      <c r="L203">
        <f>IF(OR('Bulk Calculator'!R20="",'Bulk Calculator'!S20="",G203=""),0,IF(K203&gt;='Bulk Calculator'!R20,1,0))</f>
        <v>1</v>
      </c>
      <c r="M203">
        <f>IF(AND(H203=1,I203&lt;='OS-DORAEN'!$B$6,J203&lt;='OS-DORAEN'!$B$5,L203=1),1,0)</f>
        <v>1</v>
      </c>
      <c r="N203" t="str">
        <f t="shared" si="3"/>
        <v>R/X</v>
      </c>
    </row>
    <row r="204" spans="1:14" ht="15" customHeight="1" x14ac:dyDescent="0.35">
      <c r="A204">
        <v>20</v>
      </c>
      <c r="B204">
        <v>25</v>
      </c>
      <c r="C204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Master'!$F:$F,B204),"")</f>
        <v>96</v>
      </c>
      <c r="D204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Master'!$F:$F,B204),"")</f>
        <v>1.54</v>
      </c>
      <c r="E204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Master'!$F:$F,B204),"")</f>
        <v>1.54</v>
      </c>
      <c r="F204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Master'!$F:$F,B204),"")</f>
        <v>0.08</v>
      </c>
      <c r="G204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Master'!$F:$F,B204),"")</f>
        <v>143</v>
      </c>
      <c r="H204">
        <f>IF(AND(ISNUMBER(C204),C204&gt;='Bulk Calculator'!U20/('Bulk Calculator'!J20*'Bulk Calculator'!L20)),1,0)</f>
        <v>1</v>
      </c>
      <c r="I204">
        <f>IFERROR(IF(AND(ISNUMBER(E204),ISNUMBER(F204),E204&gt;0,F204&gt;0),SQRT(3)*'Bulk Calculator'!O20*'Bulk Calculator'!AA20*((E204*'Bulk Calculator'!Q20)+(F204*SQRT(1-'Bulk Calculator'!Q20^2)))/'Bulk Calculator'!J20/'Bulk Calculator'!K20*100,D204*'Bulk Calculator'!AA20*'Bulk Calculator'!O20/'Bulk Calculator'!J20/'Bulk Calculator'!K20*100),"")</f>
        <v>0</v>
      </c>
      <c r="J204">
        <f>IFERROR(IF(AND(ISNUMBER(E204),ISNUMBER(F204),E204&gt;0,F204&gt;0),SQRT(3)*'Bulk Calculator'!O20*'Bulk Calculator'!U20*((E204*'Bulk Calculator'!M20)+(F204*SQRT(1-'Bulk Calculator'!M20^2)))/'Bulk Calculator'!J20/'Bulk Calculator'!K20*100,D204*'Bulk Calculator'!U20*'Bulk Calculator'!O20/'Bulk Calculator'!J20/'Bulk Calculator'!K20*100),"")</f>
        <v>0</v>
      </c>
      <c r="K204">
        <f>IFERROR(G204*B204*'Bulk Calculator'!J20/SQRT('Bulk Calculator'!S20)/1000,"")</f>
        <v>7.9939430195617485</v>
      </c>
      <c r="L204">
        <f>IF(OR('Bulk Calculator'!R20="",'Bulk Calculator'!S20="",G204=""),0,IF(K204&gt;='Bulk Calculator'!R20,1,0))</f>
        <v>1</v>
      </c>
      <c r="M204">
        <f>IF(AND(H204=1,I204&lt;='OS-DORAEN'!$B$6,J204&lt;='OS-DORAEN'!$B$5,L204=1),1,0)</f>
        <v>1</v>
      </c>
      <c r="N204" t="str">
        <f t="shared" si="3"/>
        <v>R/X</v>
      </c>
    </row>
    <row r="205" spans="1:14" ht="15" customHeight="1" x14ac:dyDescent="0.35">
      <c r="A205">
        <v>20</v>
      </c>
      <c r="B205">
        <v>16</v>
      </c>
      <c r="C205">
        <f>IFERROR(SUMIFS('Cable Data Master'!$G:$G,'Cable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Master'!$F:$F,B205),"")</f>
        <v>0</v>
      </c>
      <c r="D205">
        <f>IFERROR(SUMIFS('Cable Data Master'!$K:$K,'Cable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Master'!$F:$F,B205),"")</f>
        <v>0</v>
      </c>
      <c r="E205">
        <f>IFERROR(SUMIFS('Cable Data Master'!$H:$H,'Cable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Master'!$F:$F,B205),"")</f>
        <v>0</v>
      </c>
      <c r="F205">
        <f>IFERROR(SUMIFS('Cable Data Master'!$I:$I,'Cable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Master'!$F:$F,B205),"")</f>
        <v>0</v>
      </c>
      <c r="G205">
        <f>IFERROR(SUMIFS('Cable Data Master'!$J:$J,'Cable Data Master'!$A:$A,'Bulk Calculator'!$BF20,'Cable Data Master'!$B:$B,'Bulk Calculator'!$BG20,'Cable Data Master'!$C:$C,'Bulk Calculator'!$BH20,'Cable Data Master'!$D:$D,'Bulk Calculator'!$BI20,'Cable Data Master'!$E:$E,'Bulk Calculator'!$BJ20,'Cable Data Master'!$F:$F,B205),"")</f>
        <v>0</v>
      </c>
      <c r="H205">
        <f>IF(AND(ISNUMBER(C205),C205&gt;='Bulk Calculator'!U20/('Bulk Calculator'!J20*'Bulk Calculator'!L20)),1,0)</f>
        <v>1</v>
      </c>
      <c r="I205">
        <f>IFERROR(IF(AND(ISNUMBER(E205),ISNUMBER(F205),E205&gt;0,F205&gt;0),SQRT(3)*'Bulk Calculator'!O20*'Bulk Calculator'!AA20*((E205*'Bulk Calculator'!Q20)+(F205*SQRT(1-'Bulk Calculator'!Q20^2)))/'Bulk Calculator'!J20/'Bulk Calculator'!K20*100,D205*'Bulk Calculator'!AA20*'Bulk Calculator'!O20/'Bulk Calculator'!J20/'Bulk Calculator'!K20*100),"")</f>
        <v>0</v>
      </c>
      <c r="J205">
        <f>IFERROR(IF(AND(ISNUMBER(E205),ISNUMBER(F205),E205&gt;0,F205&gt;0),SQRT(3)*'Bulk Calculator'!O20*'Bulk Calculator'!U20*((E205*'Bulk Calculator'!M20)+(F205*SQRT(1-'Bulk Calculator'!M20^2)))/'Bulk Calculator'!J20/'Bulk Calculator'!K20*100,D205*'Bulk Calculator'!U20*'Bulk Calculator'!O20/'Bulk Calculator'!J20/'Bulk Calculator'!K20*100),"")</f>
        <v>0</v>
      </c>
      <c r="K205">
        <f>IFERROR(G205*B205*'Bulk Calculator'!J20/SQRT('Bulk Calculator'!S20)/1000,"")</f>
        <v>0</v>
      </c>
      <c r="L205">
        <f>IF(OR('Bulk Calculator'!R20="",'Bulk Calculator'!S20="",G205=""),0,IF(K205&gt;='Bulk Calculator'!R20,1,0))</f>
        <v>1</v>
      </c>
      <c r="M205">
        <f>IF(AND(H205=1,I205&lt;='OS-DORAEN'!$B$6,J205&lt;='OS-DORAEN'!$B$5,L205=1),1,0)</f>
        <v>1</v>
      </c>
      <c r="N205" t="str">
        <f t="shared" si="3"/>
        <v>Manufacturer VD Ref</v>
      </c>
    </row>
    <row r="206" spans="1:14" ht="15" customHeight="1" x14ac:dyDescent="0.35">
      <c r="A206">
        <v>21</v>
      </c>
      <c r="B206">
        <v>400</v>
      </c>
      <c r="C206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Master'!$F:$F,B206),"")</f>
        <v>530</v>
      </c>
      <c r="D206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Master'!$F:$F,B206),"")</f>
        <v>0.1023</v>
      </c>
      <c r="E206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Master'!$F:$F,B206),"")</f>
        <v>0.1023</v>
      </c>
      <c r="F206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Master'!$F:$F,B206),"")</f>
        <v>7.0000000000000007E-2</v>
      </c>
      <c r="G206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Master'!$F:$F,B206),"")</f>
        <v>143</v>
      </c>
      <c r="H206">
        <f>IF(AND(ISNUMBER(C206),C206&gt;='Bulk Calculator'!U21/('Bulk Calculator'!J21*'Bulk Calculator'!L21)),1,0)</f>
        <v>1</v>
      </c>
      <c r="I206">
        <f>IFERROR(IF(AND(ISNUMBER(E206),ISNUMBER(F206),E206&gt;0,F206&gt;0),SQRT(3)*'Bulk Calculator'!O21*'Bulk Calculator'!AA21*((E206*'Bulk Calculator'!Q21)+(F206*SQRT(1-'Bulk Calculator'!Q21^2)))/'Bulk Calculator'!J21/'Bulk Calculator'!K21*100,D206*'Bulk Calculator'!AA21*'Bulk Calculator'!O21/'Bulk Calculator'!J21/'Bulk Calculator'!K21*100),"")</f>
        <v>0</v>
      </c>
      <c r="J206">
        <f>IFERROR(IF(AND(ISNUMBER(E206),ISNUMBER(F206),E206&gt;0,F206&gt;0),SQRT(3)*'Bulk Calculator'!O21*'Bulk Calculator'!U21*((E206*'Bulk Calculator'!M21)+(F206*SQRT(1-'Bulk Calculator'!M21^2)))/'Bulk Calculator'!J21/'Bulk Calculator'!K21*100,D206*'Bulk Calculator'!U21*'Bulk Calculator'!O21/'Bulk Calculator'!J21/'Bulk Calculator'!K21*100),"")</f>
        <v>0</v>
      </c>
      <c r="K206">
        <f>IFERROR(G206*B206*'Bulk Calculator'!J21/SQRT('Bulk Calculator'!S21)/1000,"")</f>
        <v>127.90308831298798</v>
      </c>
      <c r="L206">
        <f>IF(OR('Bulk Calculator'!R21="",'Bulk Calculator'!S21="",G206=""),0,IF(K206&gt;='Bulk Calculator'!R21,1,0))</f>
        <v>1</v>
      </c>
      <c r="M206">
        <f>IF(AND(H206=1,I206&lt;='OS-DORAEN'!$B$6,J206&lt;='OS-DORAEN'!$B$5,L206=1),1,0)</f>
        <v>1</v>
      </c>
      <c r="N206" t="str">
        <f t="shared" si="3"/>
        <v>R/X</v>
      </c>
    </row>
    <row r="207" spans="1:14" ht="15" customHeight="1" x14ac:dyDescent="0.35">
      <c r="A207">
        <v>21</v>
      </c>
      <c r="B207">
        <v>300</v>
      </c>
      <c r="C207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Master'!$F:$F,B207),"")</f>
        <v>455</v>
      </c>
      <c r="D207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Master'!$F:$F,B207),"")</f>
        <v>0.13</v>
      </c>
      <c r="E207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Master'!$F:$F,B207),"")</f>
        <v>0.13</v>
      </c>
      <c r="F207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Master'!$F:$F,B207),"")</f>
        <v>7.0999999999999994E-2</v>
      </c>
      <c r="G207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Master'!$F:$F,B207),"")</f>
        <v>143</v>
      </c>
      <c r="H207">
        <f>IF(AND(ISNUMBER(C207),C207&gt;='Bulk Calculator'!U21/('Bulk Calculator'!J21*'Bulk Calculator'!L21)),1,0)</f>
        <v>1</v>
      </c>
      <c r="I207">
        <f>IFERROR(IF(AND(ISNUMBER(E207),ISNUMBER(F207),E207&gt;0,F207&gt;0),SQRT(3)*'Bulk Calculator'!O21*'Bulk Calculator'!AA21*((E207*'Bulk Calculator'!Q21)+(F207*SQRT(1-'Bulk Calculator'!Q21^2)))/'Bulk Calculator'!J21/'Bulk Calculator'!K21*100,D207*'Bulk Calculator'!AA21*'Bulk Calculator'!O21/'Bulk Calculator'!J21/'Bulk Calculator'!K21*100),"")</f>
        <v>0</v>
      </c>
      <c r="J207">
        <f>IFERROR(IF(AND(ISNUMBER(E207),ISNUMBER(F207),E207&gt;0,F207&gt;0),SQRT(3)*'Bulk Calculator'!O21*'Bulk Calculator'!U21*((E207*'Bulk Calculator'!M21)+(F207*SQRT(1-'Bulk Calculator'!M21^2)))/'Bulk Calculator'!J21/'Bulk Calculator'!K21*100,D207*'Bulk Calculator'!U21*'Bulk Calculator'!O21/'Bulk Calculator'!J21/'Bulk Calculator'!K21*100),"")</f>
        <v>0</v>
      </c>
      <c r="K207">
        <f>IFERROR(G207*B207*'Bulk Calculator'!J21/SQRT('Bulk Calculator'!S21)/1000,"")</f>
        <v>95.927316234740985</v>
      </c>
      <c r="L207">
        <f>IF(OR('Bulk Calculator'!R21="",'Bulk Calculator'!S21="",G207=""),0,IF(K207&gt;='Bulk Calculator'!R21,1,0))</f>
        <v>1</v>
      </c>
      <c r="M207">
        <f>IF(AND(H207=1,I207&lt;='OS-DORAEN'!$B$6,J207&lt;='OS-DORAEN'!$B$5,L207=1),1,0)</f>
        <v>1</v>
      </c>
      <c r="N207" t="str">
        <f t="shared" si="3"/>
        <v>R/X</v>
      </c>
    </row>
    <row r="208" spans="1:14" ht="15" customHeight="1" x14ac:dyDescent="0.35">
      <c r="A208">
        <v>21</v>
      </c>
      <c r="B208">
        <v>240</v>
      </c>
      <c r="C208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Master'!$F:$F,B208),"")</f>
        <v>399</v>
      </c>
      <c r="D208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Master'!$F:$F,B208),"")</f>
        <v>0.16200000000000001</v>
      </c>
      <c r="E208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Master'!$F:$F,B208),"")</f>
        <v>0.16200000000000001</v>
      </c>
      <c r="F208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Master'!$F:$F,B208),"")</f>
        <v>7.1999999999999995E-2</v>
      </c>
      <c r="G208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Master'!$F:$F,B208),"")</f>
        <v>143</v>
      </c>
      <c r="H208">
        <f>IF(AND(ISNUMBER(C208),C208&gt;='Bulk Calculator'!U21/('Bulk Calculator'!J21*'Bulk Calculator'!L21)),1,0)</f>
        <v>1</v>
      </c>
      <c r="I208">
        <f>IFERROR(IF(AND(ISNUMBER(E208),ISNUMBER(F208),E208&gt;0,F208&gt;0),SQRT(3)*'Bulk Calculator'!O21*'Bulk Calculator'!AA21*((E208*'Bulk Calculator'!Q21)+(F208*SQRT(1-'Bulk Calculator'!Q21^2)))/'Bulk Calculator'!J21/'Bulk Calculator'!K21*100,D208*'Bulk Calculator'!AA21*'Bulk Calculator'!O21/'Bulk Calculator'!J21/'Bulk Calculator'!K21*100),"")</f>
        <v>0</v>
      </c>
      <c r="J208">
        <f>IFERROR(IF(AND(ISNUMBER(E208),ISNUMBER(F208),E208&gt;0,F208&gt;0),SQRT(3)*'Bulk Calculator'!O21*'Bulk Calculator'!U21*((E208*'Bulk Calculator'!M21)+(F208*SQRT(1-'Bulk Calculator'!M21^2)))/'Bulk Calculator'!J21/'Bulk Calculator'!K21*100,D208*'Bulk Calculator'!U21*'Bulk Calculator'!O21/'Bulk Calculator'!J21/'Bulk Calculator'!K21*100),"")</f>
        <v>0</v>
      </c>
      <c r="K208">
        <f>IFERROR(G208*B208*'Bulk Calculator'!J21/SQRT('Bulk Calculator'!S21)/1000,"")</f>
        <v>76.741852987792782</v>
      </c>
      <c r="L208">
        <f>IF(OR('Bulk Calculator'!R21="",'Bulk Calculator'!S21="",G208=""),0,IF(K208&gt;='Bulk Calculator'!R21,1,0))</f>
        <v>1</v>
      </c>
      <c r="M208">
        <f>IF(AND(H208=1,I208&lt;='OS-DORAEN'!$B$6,J208&lt;='OS-DORAEN'!$B$5,L208=1),1,0)</f>
        <v>1</v>
      </c>
      <c r="N208" t="str">
        <f t="shared" si="3"/>
        <v>R/X</v>
      </c>
    </row>
    <row r="209" spans="1:14" ht="15" customHeight="1" x14ac:dyDescent="0.35">
      <c r="A209">
        <v>21</v>
      </c>
      <c r="B209">
        <v>185</v>
      </c>
      <c r="C209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Master'!$F:$F,B209),"")</f>
        <v>337</v>
      </c>
      <c r="D209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Master'!$F:$F,B209),"")</f>
        <v>0.21099999999999999</v>
      </c>
      <c r="E209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Master'!$F:$F,B209),"")</f>
        <v>0.21099999999999999</v>
      </c>
      <c r="F209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Master'!$F:$F,B209),"")</f>
        <v>7.1999999999999995E-2</v>
      </c>
      <c r="G209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Master'!$F:$F,B209),"")</f>
        <v>143</v>
      </c>
      <c r="H209">
        <f>IF(AND(ISNUMBER(C209),C209&gt;='Bulk Calculator'!U21/('Bulk Calculator'!J21*'Bulk Calculator'!L21)),1,0)</f>
        <v>1</v>
      </c>
      <c r="I209">
        <f>IFERROR(IF(AND(ISNUMBER(E209),ISNUMBER(F209),E209&gt;0,F209&gt;0),SQRT(3)*'Bulk Calculator'!O21*'Bulk Calculator'!AA21*((E209*'Bulk Calculator'!Q21)+(F209*SQRT(1-'Bulk Calculator'!Q21^2)))/'Bulk Calculator'!J21/'Bulk Calculator'!K21*100,D209*'Bulk Calculator'!AA21*'Bulk Calculator'!O21/'Bulk Calculator'!J21/'Bulk Calculator'!K21*100),"")</f>
        <v>0</v>
      </c>
      <c r="J209">
        <f>IFERROR(IF(AND(ISNUMBER(E209),ISNUMBER(F209),E209&gt;0,F209&gt;0),SQRT(3)*'Bulk Calculator'!O21*'Bulk Calculator'!U21*((E209*'Bulk Calculator'!M21)+(F209*SQRT(1-'Bulk Calculator'!M21^2)))/'Bulk Calculator'!J21/'Bulk Calculator'!K21*100,D209*'Bulk Calculator'!U21*'Bulk Calculator'!O21/'Bulk Calculator'!J21/'Bulk Calculator'!K21*100),"")</f>
        <v>0</v>
      </c>
      <c r="K209">
        <f>IFERROR(G209*B209*'Bulk Calculator'!J21/SQRT('Bulk Calculator'!S21)/1000,"")</f>
        <v>59.155178344756941</v>
      </c>
      <c r="L209">
        <f>IF(OR('Bulk Calculator'!R21="",'Bulk Calculator'!S21="",G209=""),0,IF(K209&gt;='Bulk Calculator'!R21,1,0))</f>
        <v>1</v>
      </c>
      <c r="M209">
        <f>IF(AND(H209=1,I209&lt;='OS-DORAEN'!$B$6,J209&lt;='OS-DORAEN'!$B$5,L209=1),1,0)</f>
        <v>1</v>
      </c>
      <c r="N209" t="str">
        <f t="shared" si="3"/>
        <v>R/X</v>
      </c>
    </row>
    <row r="210" spans="1:14" ht="15" customHeight="1" x14ac:dyDescent="0.35">
      <c r="A210">
        <v>21</v>
      </c>
      <c r="B210">
        <v>150</v>
      </c>
      <c r="C210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Master'!$F:$F,B210),"")</f>
        <v>292</v>
      </c>
      <c r="D210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Master'!$F:$F,B210),"")</f>
        <v>0.26500000000000001</v>
      </c>
      <c r="E210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Master'!$F:$F,B210),"")</f>
        <v>0.26500000000000001</v>
      </c>
      <c r="F210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Master'!$F:$F,B210),"")</f>
        <v>7.1999999999999995E-2</v>
      </c>
      <c r="G210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Master'!$F:$F,B210),"")</f>
        <v>143</v>
      </c>
      <c r="H210">
        <f>IF(AND(ISNUMBER(C210),C210&gt;='Bulk Calculator'!U21/('Bulk Calculator'!J21*'Bulk Calculator'!L21)),1,0)</f>
        <v>1</v>
      </c>
      <c r="I210">
        <f>IFERROR(IF(AND(ISNUMBER(E210),ISNUMBER(F210),E210&gt;0,F210&gt;0),SQRT(3)*'Bulk Calculator'!O21*'Bulk Calculator'!AA21*((E210*'Bulk Calculator'!Q21)+(F210*SQRT(1-'Bulk Calculator'!Q21^2)))/'Bulk Calculator'!J21/'Bulk Calculator'!K21*100,D210*'Bulk Calculator'!AA21*'Bulk Calculator'!O21/'Bulk Calculator'!J21/'Bulk Calculator'!K21*100),"")</f>
        <v>0</v>
      </c>
      <c r="J210">
        <f>IFERROR(IF(AND(ISNUMBER(E210),ISNUMBER(F210),E210&gt;0,F210&gt;0),SQRT(3)*'Bulk Calculator'!O21*'Bulk Calculator'!U21*((E210*'Bulk Calculator'!M21)+(F210*SQRT(1-'Bulk Calculator'!M21^2)))/'Bulk Calculator'!J21/'Bulk Calculator'!K21*100,D210*'Bulk Calculator'!U21*'Bulk Calculator'!O21/'Bulk Calculator'!J21/'Bulk Calculator'!K21*100),"")</f>
        <v>0</v>
      </c>
      <c r="K210">
        <f>IFERROR(G210*B210*'Bulk Calculator'!J21/SQRT('Bulk Calculator'!S21)/1000,"")</f>
        <v>47.963658117370493</v>
      </c>
      <c r="L210">
        <f>IF(OR('Bulk Calculator'!R21="",'Bulk Calculator'!S21="",G210=""),0,IF(K210&gt;='Bulk Calculator'!R21,1,0))</f>
        <v>1</v>
      </c>
      <c r="M210">
        <f>IF(AND(H210=1,I210&lt;='OS-DORAEN'!$B$6,J210&lt;='OS-DORAEN'!$B$5,L210=1),1,0)</f>
        <v>1</v>
      </c>
      <c r="N210" t="str">
        <f t="shared" si="3"/>
        <v>R/X</v>
      </c>
    </row>
    <row r="211" spans="1:14" ht="15" customHeight="1" x14ac:dyDescent="0.35">
      <c r="A211">
        <v>21</v>
      </c>
      <c r="B211">
        <v>120</v>
      </c>
      <c r="C211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Master'!$F:$F,B211),"")</f>
        <v>257</v>
      </c>
      <c r="D211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Master'!$F:$F,B211),"")</f>
        <v>0.32500000000000001</v>
      </c>
      <c r="E211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Master'!$F:$F,B211),"")</f>
        <v>0.32500000000000001</v>
      </c>
      <c r="F211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Master'!$F:$F,B211),"")</f>
        <v>7.1999999999999995E-2</v>
      </c>
      <c r="G211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Master'!$F:$F,B211),"")</f>
        <v>143</v>
      </c>
      <c r="H211">
        <f>IF(AND(ISNUMBER(C211),C211&gt;='Bulk Calculator'!U21/('Bulk Calculator'!J21*'Bulk Calculator'!L21)),1,0)</f>
        <v>1</v>
      </c>
      <c r="I211">
        <f>IFERROR(IF(AND(ISNUMBER(E211),ISNUMBER(F211),E211&gt;0,F211&gt;0),SQRT(3)*'Bulk Calculator'!O21*'Bulk Calculator'!AA21*((E211*'Bulk Calculator'!Q21)+(F211*SQRT(1-'Bulk Calculator'!Q21^2)))/'Bulk Calculator'!J21/'Bulk Calculator'!K21*100,D211*'Bulk Calculator'!AA21*'Bulk Calculator'!O21/'Bulk Calculator'!J21/'Bulk Calculator'!K21*100),"")</f>
        <v>0</v>
      </c>
      <c r="J211">
        <f>IFERROR(IF(AND(ISNUMBER(E211),ISNUMBER(F211),E211&gt;0,F211&gt;0),SQRT(3)*'Bulk Calculator'!O21*'Bulk Calculator'!U21*((E211*'Bulk Calculator'!M21)+(F211*SQRT(1-'Bulk Calculator'!M21^2)))/'Bulk Calculator'!J21/'Bulk Calculator'!K21*100,D211*'Bulk Calculator'!U21*'Bulk Calculator'!O21/'Bulk Calculator'!J21/'Bulk Calculator'!K21*100),"")</f>
        <v>0</v>
      </c>
      <c r="K211">
        <f>IFERROR(G211*B211*'Bulk Calculator'!J21/SQRT('Bulk Calculator'!S21)/1000,"")</f>
        <v>38.370926493896391</v>
      </c>
      <c r="L211">
        <f>IF(OR('Bulk Calculator'!R21="",'Bulk Calculator'!S21="",G211=""),0,IF(K211&gt;='Bulk Calculator'!R21,1,0))</f>
        <v>1</v>
      </c>
      <c r="M211">
        <f>IF(AND(H211=1,I211&lt;='OS-DORAEN'!$B$6,J211&lt;='OS-DORAEN'!$B$5,L211=1),1,0)</f>
        <v>1</v>
      </c>
      <c r="N211" t="str">
        <f t="shared" si="3"/>
        <v>R/X</v>
      </c>
    </row>
    <row r="212" spans="1:14" ht="15" customHeight="1" x14ac:dyDescent="0.35">
      <c r="A212">
        <v>21</v>
      </c>
      <c r="B212">
        <v>95</v>
      </c>
      <c r="C212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Master'!$F:$F,B212),"")</f>
        <v>221</v>
      </c>
      <c r="D212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Master'!$F:$F,B212),"")</f>
        <v>0.41</v>
      </c>
      <c r="E212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Master'!$F:$F,B212),"")</f>
        <v>0.41</v>
      </c>
      <c r="F212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Master'!$F:$F,B212),"")</f>
        <v>7.3999999999999996E-2</v>
      </c>
      <c r="G212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Master'!$F:$F,B212),"")</f>
        <v>143</v>
      </c>
      <c r="H212">
        <f>IF(AND(ISNUMBER(C212),C212&gt;='Bulk Calculator'!U21/('Bulk Calculator'!J21*'Bulk Calculator'!L21)),1,0)</f>
        <v>1</v>
      </c>
      <c r="I212">
        <f>IFERROR(IF(AND(ISNUMBER(E212),ISNUMBER(F212),E212&gt;0,F212&gt;0),SQRT(3)*'Bulk Calculator'!O21*'Bulk Calculator'!AA21*((E212*'Bulk Calculator'!Q21)+(F212*SQRT(1-'Bulk Calculator'!Q21^2)))/'Bulk Calculator'!J21/'Bulk Calculator'!K21*100,D212*'Bulk Calculator'!AA21*'Bulk Calculator'!O21/'Bulk Calculator'!J21/'Bulk Calculator'!K21*100),"")</f>
        <v>0</v>
      </c>
      <c r="J212">
        <f>IFERROR(IF(AND(ISNUMBER(E212),ISNUMBER(F212),E212&gt;0,F212&gt;0),SQRT(3)*'Bulk Calculator'!O21*'Bulk Calculator'!U21*((E212*'Bulk Calculator'!M21)+(F212*SQRT(1-'Bulk Calculator'!M21^2)))/'Bulk Calculator'!J21/'Bulk Calculator'!K21*100,D212*'Bulk Calculator'!U21*'Bulk Calculator'!O21/'Bulk Calculator'!J21/'Bulk Calculator'!K21*100),"")</f>
        <v>0</v>
      </c>
      <c r="K212">
        <f>IFERROR(G212*B212*'Bulk Calculator'!J21/SQRT('Bulk Calculator'!S21)/1000,"")</f>
        <v>30.376983474334644</v>
      </c>
      <c r="L212">
        <f>IF(OR('Bulk Calculator'!R21="",'Bulk Calculator'!S21="",G212=""),0,IF(K212&gt;='Bulk Calculator'!R21,1,0))</f>
        <v>1</v>
      </c>
      <c r="M212">
        <f>IF(AND(H212=1,I212&lt;='OS-DORAEN'!$B$6,J212&lt;='OS-DORAEN'!$B$5,L212=1),1,0)</f>
        <v>1</v>
      </c>
      <c r="N212" t="str">
        <f t="shared" si="3"/>
        <v>R/X</v>
      </c>
    </row>
    <row r="213" spans="1:14" ht="15" customHeight="1" x14ac:dyDescent="0.35">
      <c r="A213">
        <v>21</v>
      </c>
      <c r="B213">
        <v>70</v>
      </c>
      <c r="C213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Master'!$F:$F,B213),"")</f>
        <v>179</v>
      </c>
      <c r="D213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Master'!$F:$F,B213),"")</f>
        <v>0.56699999999999995</v>
      </c>
      <c r="E213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Master'!$F:$F,B213),"")</f>
        <v>0.56699999999999995</v>
      </c>
      <c r="F213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Master'!$F:$F,B213),"")</f>
        <v>7.6999999999999999E-2</v>
      </c>
      <c r="G213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Master'!$F:$F,B213),"")</f>
        <v>143</v>
      </c>
      <c r="H213">
        <f>IF(AND(ISNUMBER(C213),C213&gt;='Bulk Calculator'!U21/('Bulk Calculator'!J21*'Bulk Calculator'!L21)),1,0)</f>
        <v>1</v>
      </c>
      <c r="I213">
        <f>IFERROR(IF(AND(ISNUMBER(E213),ISNUMBER(F213),E213&gt;0,F213&gt;0),SQRT(3)*'Bulk Calculator'!O21*'Bulk Calculator'!AA21*((E213*'Bulk Calculator'!Q21)+(F213*SQRT(1-'Bulk Calculator'!Q21^2)))/'Bulk Calculator'!J21/'Bulk Calculator'!K21*100,D213*'Bulk Calculator'!AA21*'Bulk Calculator'!O21/'Bulk Calculator'!J21/'Bulk Calculator'!K21*100),"")</f>
        <v>0</v>
      </c>
      <c r="J213">
        <f>IFERROR(IF(AND(ISNUMBER(E213),ISNUMBER(F213),E213&gt;0,F213&gt;0),SQRT(3)*'Bulk Calculator'!O21*'Bulk Calculator'!U21*((E213*'Bulk Calculator'!M21)+(F213*SQRT(1-'Bulk Calculator'!M21^2)))/'Bulk Calculator'!J21/'Bulk Calculator'!K21*100,D213*'Bulk Calculator'!U21*'Bulk Calculator'!O21/'Bulk Calculator'!J21/'Bulk Calculator'!K21*100),"")</f>
        <v>0</v>
      </c>
      <c r="K213">
        <f>IFERROR(G213*B213*'Bulk Calculator'!J21/SQRT('Bulk Calculator'!S21)/1000,"")</f>
        <v>22.383040454772893</v>
      </c>
      <c r="L213">
        <f>IF(OR('Bulk Calculator'!R21="",'Bulk Calculator'!S21="",G213=""),0,IF(K213&gt;='Bulk Calculator'!R21,1,0))</f>
        <v>1</v>
      </c>
      <c r="M213">
        <f>IF(AND(H213=1,I213&lt;='OS-DORAEN'!$B$6,J213&lt;='OS-DORAEN'!$B$5,L213=1),1,0)</f>
        <v>1</v>
      </c>
      <c r="N213" t="str">
        <f t="shared" si="3"/>
        <v>R/X</v>
      </c>
    </row>
    <row r="214" spans="1:14" ht="15" customHeight="1" x14ac:dyDescent="0.35">
      <c r="A214">
        <v>21</v>
      </c>
      <c r="B214">
        <v>50</v>
      </c>
      <c r="C214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Master'!$F:$F,B214),"")</f>
        <v>142</v>
      </c>
      <c r="D214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Master'!$F:$F,B214),"")</f>
        <v>0.82</v>
      </c>
      <c r="E214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Master'!$F:$F,B214),"")</f>
        <v>0.82</v>
      </c>
      <c r="F214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Master'!$F:$F,B214),"")</f>
        <v>7.8E-2</v>
      </c>
      <c r="G214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Master'!$F:$F,B214),"")</f>
        <v>143</v>
      </c>
      <c r="H214">
        <f>IF(AND(ISNUMBER(C214),C214&gt;='Bulk Calculator'!U21/('Bulk Calculator'!J21*'Bulk Calculator'!L21)),1,0)</f>
        <v>1</v>
      </c>
      <c r="I214">
        <f>IFERROR(IF(AND(ISNUMBER(E214),ISNUMBER(F214),E214&gt;0,F214&gt;0),SQRT(3)*'Bulk Calculator'!O21*'Bulk Calculator'!AA21*((E214*'Bulk Calculator'!Q21)+(F214*SQRT(1-'Bulk Calculator'!Q21^2)))/'Bulk Calculator'!J21/'Bulk Calculator'!K21*100,D214*'Bulk Calculator'!AA21*'Bulk Calculator'!O21/'Bulk Calculator'!J21/'Bulk Calculator'!K21*100),"")</f>
        <v>0</v>
      </c>
      <c r="J214">
        <f>IFERROR(IF(AND(ISNUMBER(E214),ISNUMBER(F214),E214&gt;0,F214&gt;0),SQRT(3)*'Bulk Calculator'!O21*'Bulk Calculator'!U21*((E214*'Bulk Calculator'!M21)+(F214*SQRT(1-'Bulk Calculator'!M21^2)))/'Bulk Calculator'!J21/'Bulk Calculator'!K21*100,D214*'Bulk Calculator'!U21*'Bulk Calculator'!O21/'Bulk Calculator'!J21/'Bulk Calculator'!K21*100),"")</f>
        <v>0</v>
      </c>
      <c r="K214">
        <f>IFERROR(G214*B214*'Bulk Calculator'!J21/SQRT('Bulk Calculator'!S21)/1000,"")</f>
        <v>15.987886039123497</v>
      </c>
      <c r="L214">
        <f>IF(OR('Bulk Calculator'!R21="",'Bulk Calculator'!S21="",G214=""),0,IF(K214&gt;='Bulk Calculator'!R21,1,0))</f>
        <v>1</v>
      </c>
      <c r="M214">
        <f>IF(AND(H214=1,I214&lt;='OS-DORAEN'!$B$6,J214&lt;='OS-DORAEN'!$B$5,L214=1),1,0)</f>
        <v>1</v>
      </c>
      <c r="N214" t="str">
        <f t="shared" si="3"/>
        <v>R/X</v>
      </c>
    </row>
    <row r="215" spans="1:14" ht="15" customHeight="1" x14ac:dyDescent="0.35">
      <c r="A215">
        <v>21</v>
      </c>
      <c r="B215">
        <v>35</v>
      </c>
      <c r="C215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Master'!$F:$F,B215),"")</f>
        <v>117</v>
      </c>
      <c r="D215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Master'!$F:$F,B215),"")</f>
        <v>1.1100000000000001</v>
      </c>
      <c r="E215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Master'!$F:$F,B215),"")</f>
        <v>1.1100000000000001</v>
      </c>
      <c r="F215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Master'!$F:$F,B215),"")</f>
        <v>0.08</v>
      </c>
      <c r="G215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Master'!$F:$F,B215),"")</f>
        <v>143</v>
      </c>
      <c r="H215">
        <f>IF(AND(ISNUMBER(C215),C215&gt;='Bulk Calculator'!U21/('Bulk Calculator'!J21*'Bulk Calculator'!L21)),1,0)</f>
        <v>1</v>
      </c>
      <c r="I215">
        <f>IFERROR(IF(AND(ISNUMBER(E215),ISNUMBER(F215),E215&gt;0,F215&gt;0),SQRT(3)*'Bulk Calculator'!O21*'Bulk Calculator'!AA21*((E215*'Bulk Calculator'!Q21)+(F215*SQRT(1-'Bulk Calculator'!Q21^2)))/'Bulk Calculator'!J21/'Bulk Calculator'!K21*100,D215*'Bulk Calculator'!AA21*'Bulk Calculator'!O21/'Bulk Calculator'!J21/'Bulk Calculator'!K21*100),"")</f>
        <v>0</v>
      </c>
      <c r="J215">
        <f>IFERROR(IF(AND(ISNUMBER(E215),ISNUMBER(F215),E215&gt;0,F215&gt;0),SQRT(3)*'Bulk Calculator'!O21*'Bulk Calculator'!U21*((E215*'Bulk Calculator'!M21)+(F215*SQRT(1-'Bulk Calculator'!M21^2)))/'Bulk Calculator'!J21/'Bulk Calculator'!K21*100,D215*'Bulk Calculator'!U21*'Bulk Calculator'!O21/'Bulk Calculator'!J21/'Bulk Calculator'!K21*100),"")</f>
        <v>0</v>
      </c>
      <c r="K215">
        <f>IFERROR(G215*B215*'Bulk Calculator'!J21/SQRT('Bulk Calculator'!S21)/1000,"")</f>
        <v>11.191520227386446</v>
      </c>
      <c r="L215">
        <f>IF(OR('Bulk Calculator'!R21="",'Bulk Calculator'!S21="",G215=""),0,IF(K215&gt;='Bulk Calculator'!R21,1,0))</f>
        <v>1</v>
      </c>
      <c r="M215">
        <f>IF(AND(H215=1,I215&lt;='OS-DORAEN'!$B$6,J215&lt;='OS-DORAEN'!$B$5,L215=1),1,0)</f>
        <v>1</v>
      </c>
      <c r="N215" t="str">
        <f t="shared" si="3"/>
        <v>R/X</v>
      </c>
    </row>
    <row r="216" spans="1:14" ht="15" customHeight="1" x14ac:dyDescent="0.35">
      <c r="A216">
        <v>21</v>
      </c>
      <c r="B216">
        <v>25</v>
      </c>
      <c r="C216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Master'!$F:$F,B216),"")</f>
        <v>96</v>
      </c>
      <c r="D216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Master'!$F:$F,B216),"")</f>
        <v>1.54</v>
      </c>
      <c r="E216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Master'!$F:$F,B216),"")</f>
        <v>1.54</v>
      </c>
      <c r="F216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Master'!$F:$F,B216),"")</f>
        <v>0.08</v>
      </c>
      <c r="G216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Master'!$F:$F,B216),"")</f>
        <v>143</v>
      </c>
      <c r="H216">
        <f>IF(AND(ISNUMBER(C216),C216&gt;='Bulk Calculator'!U21/('Bulk Calculator'!J21*'Bulk Calculator'!L21)),1,0)</f>
        <v>1</v>
      </c>
      <c r="I216">
        <f>IFERROR(IF(AND(ISNUMBER(E216),ISNUMBER(F216),E216&gt;0,F216&gt;0),SQRT(3)*'Bulk Calculator'!O21*'Bulk Calculator'!AA21*((E216*'Bulk Calculator'!Q21)+(F216*SQRT(1-'Bulk Calculator'!Q21^2)))/'Bulk Calculator'!J21/'Bulk Calculator'!K21*100,D216*'Bulk Calculator'!AA21*'Bulk Calculator'!O21/'Bulk Calculator'!J21/'Bulk Calculator'!K21*100),"")</f>
        <v>0</v>
      </c>
      <c r="J216">
        <f>IFERROR(IF(AND(ISNUMBER(E216),ISNUMBER(F216),E216&gt;0,F216&gt;0),SQRT(3)*'Bulk Calculator'!O21*'Bulk Calculator'!U21*((E216*'Bulk Calculator'!M21)+(F216*SQRT(1-'Bulk Calculator'!M21^2)))/'Bulk Calculator'!J21/'Bulk Calculator'!K21*100,D216*'Bulk Calculator'!U21*'Bulk Calculator'!O21/'Bulk Calculator'!J21/'Bulk Calculator'!K21*100),"")</f>
        <v>0</v>
      </c>
      <c r="K216">
        <f>IFERROR(G216*B216*'Bulk Calculator'!J21/SQRT('Bulk Calculator'!S21)/1000,"")</f>
        <v>7.9939430195617485</v>
      </c>
      <c r="L216">
        <f>IF(OR('Bulk Calculator'!R21="",'Bulk Calculator'!S21="",G216=""),0,IF(K216&gt;='Bulk Calculator'!R21,1,0))</f>
        <v>1</v>
      </c>
      <c r="M216">
        <f>IF(AND(H216=1,I216&lt;='OS-DORAEN'!$B$6,J216&lt;='OS-DORAEN'!$B$5,L216=1),1,0)</f>
        <v>1</v>
      </c>
      <c r="N216" t="str">
        <f t="shared" si="3"/>
        <v>R/X</v>
      </c>
    </row>
    <row r="217" spans="1:14" ht="15" customHeight="1" x14ac:dyDescent="0.35">
      <c r="A217">
        <v>21</v>
      </c>
      <c r="B217">
        <v>16</v>
      </c>
      <c r="C217">
        <f>IFERROR(SUMIFS('Cable Data Master'!$G:$G,'Cable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Master'!$F:$F,B217),"")</f>
        <v>0</v>
      </c>
      <c r="D217">
        <f>IFERROR(SUMIFS('Cable Data Master'!$K:$K,'Cable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Master'!$F:$F,B217),"")</f>
        <v>0</v>
      </c>
      <c r="E217">
        <f>IFERROR(SUMIFS('Cable Data Master'!$H:$H,'Cable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Master'!$F:$F,B217),"")</f>
        <v>0</v>
      </c>
      <c r="F217">
        <f>IFERROR(SUMIFS('Cable Data Master'!$I:$I,'Cable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Master'!$F:$F,B217),"")</f>
        <v>0</v>
      </c>
      <c r="G217">
        <f>IFERROR(SUMIFS('Cable Data Master'!$J:$J,'Cable Data Master'!$A:$A,'Bulk Calculator'!$BF21,'Cable Data Master'!$B:$B,'Bulk Calculator'!$BG21,'Cable Data Master'!$C:$C,'Bulk Calculator'!$BH21,'Cable Data Master'!$D:$D,'Bulk Calculator'!$BI21,'Cable Data Master'!$E:$E,'Bulk Calculator'!$BJ21,'Cable Data Master'!$F:$F,B217),"")</f>
        <v>0</v>
      </c>
      <c r="H217">
        <f>IF(AND(ISNUMBER(C217),C217&gt;='Bulk Calculator'!U21/('Bulk Calculator'!J21*'Bulk Calculator'!L21)),1,0)</f>
        <v>1</v>
      </c>
      <c r="I217">
        <f>IFERROR(IF(AND(ISNUMBER(E217),ISNUMBER(F217),E217&gt;0,F217&gt;0),SQRT(3)*'Bulk Calculator'!O21*'Bulk Calculator'!AA21*((E217*'Bulk Calculator'!Q21)+(F217*SQRT(1-'Bulk Calculator'!Q21^2)))/'Bulk Calculator'!J21/'Bulk Calculator'!K21*100,D217*'Bulk Calculator'!AA21*'Bulk Calculator'!O21/'Bulk Calculator'!J21/'Bulk Calculator'!K21*100),"")</f>
        <v>0</v>
      </c>
      <c r="J217">
        <f>IFERROR(IF(AND(ISNUMBER(E217),ISNUMBER(F217),E217&gt;0,F217&gt;0),SQRT(3)*'Bulk Calculator'!O21*'Bulk Calculator'!U21*((E217*'Bulk Calculator'!M21)+(F217*SQRT(1-'Bulk Calculator'!M21^2)))/'Bulk Calculator'!J21/'Bulk Calculator'!K21*100,D217*'Bulk Calculator'!U21*'Bulk Calculator'!O21/'Bulk Calculator'!J21/'Bulk Calculator'!K21*100),"")</f>
        <v>0</v>
      </c>
      <c r="K217">
        <f>IFERROR(G217*B217*'Bulk Calculator'!J21/SQRT('Bulk Calculator'!S21)/1000,"")</f>
        <v>0</v>
      </c>
      <c r="L217">
        <f>IF(OR('Bulk Calculator'!R21="",'Bulk Calculator'!S21="",G217=""),0,IF(K217&gt;='Bulk Calculator'!R21,1,0))</f>
        <v>1</v>
      </c>
      <c r="M217">
        <f>IF(AND(H217=1,I217&lt;='OS-DORAEN'!$B$6,J217&lt;='OS-DORAEN'!$B$5,L217=1),1,0)</f>
        <v>1</v>
      </c>
      <c r="N217" t="str">
        <f t="shared" si="3"/>
        <v>Manufacturer VD Ref</v>
      </c>
    </row>
    <row r="218" spans="1:14" ht="15" customHeight="1" x14ac:dyDescent="0.35">
      <c r="A218">
        <v>22</v>
      </c>
      <c r="B218">
        <v>400</v>
      </c>
      <c r="C218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Master'!$F:$F,B218),"")</f>
        <v>530</v>
      </c>
      <c r="D218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Master'!$F:$F,B218),"")</f>
        <v>0.1023</v>
      </c>
      <c r="E218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Master'!$F:$F,B218),"")</f>
        <v>0.1023</v>
      </c>
      <c r="F218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Master'!$F:$F,B218),"")</f>
        <v>7.0000000000000007E-2</v>
      </c>
      <c r="G218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Master'!$F:$F,B218),"")</f>
        <v>143</v>
      </c>
      <c r="H218">
        <f>IF(AND(ISNUMBER(C218),C218&gt;='Bulk Calculator'!U22/('Bulk Calculator'!J22*'Bulk Calculator'!L22)),1,0)</f>
        <v>1</v>
      </c>
      <c r="I218">
        <f>IFERROR(IF(AND(ISNUMBER(E218),ISNUMBER(F218),E218&gt;0,F218&gt;0),SQRT(3)*'Bulk Calculator'!O22*'Bulk Calculator'!AA22*((E218*'Bulk Calculator'!Q22)+(F218*SQRT(1-'Bulk Calculator'!Q22^2)))/'Bulk Calculator'!J22/'Bulk Calculator'!K22*100,D218*'Bulk Calculator'!AA22*'Bulk Calculator'!O22/'Bulk Calculator'!J22/'Bulk Calculator'!K22*100),"")</f>
        <v>0</v>
      </c>
      <c r="J218">
        <f>IFERROR(IF(AND(ISNUMBER(E218),ISNUMBER(F218),E218&gt;0,F218&gt;0),SQRT(3)*'Bulk Calculator'!O22*'Bulk Calculator'!U22*((E218*'Bulk Calculator'!M22)+(F218*SQRT(1-'Bulk Calculator'!M22^2)))/'Bulk Calculator'!J22/'Bulk Calculator'!K22*100,D218*'Bulk Calculator'!U22*'Bulk Calculator'!O22/'Bulk Calculator'!J22/'Bulk Calculator'!K22*100),"")</f>
        <v>0</v>
      </c>
      <c r="K218">
        <f>IFERROR(G218*B218*'Bulk Calculator'!J22/SQRT('Bulk Calculator'!S22)/1000,"")</f>
        <v>127.90308831298798</v>
      </c>
      <c r="L218">
        <f>IF(OR('Bulk Calculator'!R22="",'Bulk Calculator'!S22="",G218=""),0,IF(K218&gt;='Bulk Calculator'!R22,1,0))</f>
        <v>1</v>
      </c>
      <c r="M218">
        <f>IF(AND(H218=1,I218&lt;='OS-DORAEN'!$B$6,J218&lt;='OS-DORAEN'!$B$5,L218=1),1,0)</f>
        <v>1</v>
      </c>
      <c r="N218" t="str">
        <f t="shared" si="3"/>
        <v>R/X</v>
      </c>
    </row>
    <row r="219" spans="1:14" ht="15" customHeight="1" x14ac:dyDescent="0.35">
      <c r="A219">
        <v>22</v>
      </c>
      <c r="B219">
        <v>300</v>
      </c>
      <c r="C219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Master'!$F:$F,B219),"")</f>
        <v>455</v>
      </c>
      <c r="D219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Master'!$F:$F,B219),"")</f>
        <v>0.13</v>
      </c>
      <c r="E219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Master'!$F:$F,B219),"")</f>
        <v>0.13</v>
      </c>
      <c r="F219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Master'!$F:$F,B219),"")</f>
        <v>7.0999999999999994E-2</v>
      </c>
      <c r="G219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Master'!$F:$F,B219),"")</f>
        <v>143</v>
      </c>
      <c r="H219">
        <f>IF(AND(ISNUMBER(C219),C219&gt;='Bulk Calculator'!U22/('Bulk Calculator'!J22*'Bulk Calculator'!L22)),1,0)</f>
        <v>1</v>
      </c>
      <c r="I219">
        <f>IFERROR(IF(AND(ISNUMBER(E219),ISNUMBER(F219),E219&gt;0,F219&gt;0),SQRT(3)*'Bulk Calculator'!O22*'Bulk Calculator'!AA22*((E219*'Bulk Calculator'!Q22)+(F219*SQRT(1-'Bulk Calculator'!Q22^2)))/'Bulk Calculator'!J22/'Bulk Calculator'!K22*100,D219*'Bulk Calculator'!AA22*'Bulk Calculator'!O22/'Bulk Calculator'!J22/'Bulk Calculator'!K22*100),"")</f>
        <v>0</v>
      </c>
      <c r="J219">
        <f>IFERROR(IF(AND(ISNUMBER(E219),ISNUMBER(F219),E219&gt;0,F219&gt;0),SQRT(3)*'Bulk Calculator'!O22*'Bulk Calculator'!U22*((E219*'Bulk Calculator'!M22)+(F219*SQRT(1-'Bulk Calculator'!M22^2)))/'Bulk Calculator'!J22/'Bulk Calculator'!K22*100,D219*'Bulk Calculator'!U22*'Bulk Calculator'!O22/'Bulk Calculator'!J22/'Bulk Calculator'!K22*100),"")</f>
        <v>0</v>
      </c>
      <c r="K219">
        <f>IFERROR(G219*B219*'Bulk Calculator'!J22/SQRT('Bulk Calculator'!S22)/1000,"")</f>
        <v>95.927316234740985</v>
      </c>
      <c r="L219">
        <f>IF(OR('Bulk Calculator'!R22="",'Bulk Calculator'!S22="",G219=""),0,IF(K219&gt;='Bulk Calculator'!R22,1,0))</f>
        <v>1</v>
      </c>
      <c r="M219">
        <f>IF(AND(H219=1,I219&lt;='OS-DORAEN'!$B$6,J219&lt;='OS-DORAEN'!$B$5,L219=1),1,0)</f>
        <v>1</v>
      </c>
      <c r="N219" t="str">
        <f t="shared" si="3"/>
        <v>R/X</v>
      </c>
    </row>
    <row r="220" spans="1:14" ht="15" customHeight="1" x14ac:dyDescent="0.35">
      <c r="A220">
        <v>22</v>
      </c>
      <c r="B220">
        <v>240</v>
      </c>
      <c r="C220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Master'!$F:$F,B220),"")</f>
        <v>399</v>
      </c>
      <c r="D220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Master'!$F:$F,B220),"")</f>
        <v>0.16200000000000001</v>
      </c>
      <c r="E220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Master'!$F:$F,B220),"")</f>
        <v>0.16200000000000001</v>
      </c>
      <c r="F220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Master'!$F:$F,B220),"")</f>
        <v>7.1999999999999995E-2</v>
      </c>
      <c r="G220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Master'!$F:$F,B220),"")</f>
        <v>143</v>
      </c>
      <c r="H220">
        <f>IF(AND(ISNUMBER(C220),C220&gt;='Bulk Calculator'!U22/('Bulk Calculator'!J22*'Bulk Calculator'!L22)),1,0)</f>
        <v>1</v>
      </c>
      <c r="I220">
        <f>IFERROR(IF(AND(ISNUMBER(E220),ISNUMBER(F220),E220&gt;0,F220&gt;0),SQRT(3)*'Bulk Calculator'!O22*'Bulk Calculator'!AA22*((E220*'Bulk Calculator'!Q22)+(F220*SQRT(1-'Bulk Calculator'!Q22^2)))/'Bulk Calculator'!J22/'Bulk Calculator'!K22*100,D220*'Bulk Calculator'!AA22*'Bulk Calculator'!O22/'Bulk Calculator'!J22/'Bulk Calculator'!K22*100),"")</f>
        <v>0</v>
      </c>
      <c r="J220">
        <f>IFERROR(IF(AND(ISNUMBER(E220),ISNUMBER(F220),E220&gt;0,F220&gt;0),SQRT(3)*'Bulk Calculator'!O22*'Bulk Calculator'!U22*((E220*'Bulk Calculator'!M22)+(F220*SQRT(1-'Bulk Calculator'!M22^2)))/'Bulk Calculator'!J22/'Bulk Calculator'!K22*100,D220*'Bulk Calculator'!U22*'Bulk Calculator'!O22/'Bulk Calculator'!J22/'Bulk Calculator'!K22*100),"")</f>
        <v>0</v>
      </c>
      <c r="K220">
        <f>IFERROR(G220*B220*'Bulk Calculator'!J22/SQRT('Bulk Calculator'!S22)/1000,"")</f>
        <v>76.741852987792782</v>
      </c>
      <c r="L220">
        <f>IF(OR('Bulk Calculator'!R22="",'Bulk Calculator'!S22="",G220=""),0,IF(K220&gt;='Bulk Calculator'!R22,1,0))</f>
        <v>1</v>
      </c>
      <c r="M220">
        <f>IF(AND(H220=1,I220&lt;='OS-DORAEN'!$B$6,J220&lt;='OS-DORAEN'!$B$5,L220=1),1,0)</f>
        <v>1</v>
      </c>
      <c r="N220" t="str">
        <f t="shared" si="3"/>
        <v>R/X</v>
      </c>
    </row>
    <row r="221" spans="1:14" ht="15" customHeight="1" x14ac:dyDescent="0.35">
      <c r="A221">
        <v>22</v>
      </c>
      <c r="B221">
        <v>185</v>
      </c>
      <c r="C221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Master'!$F:$F,B221),"")</f>
        <v>337</v>
      </c>
      <c r="D221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Master'!$F:$F,B221),"")</f>
        <v>0.21099999999999999</v>
      </c>
      <c r="E221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Master'!$F:$F,B221),"")</f>
        <v>0.21099999999999999</v>
      </c>
      <c r="F221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Master'!$F:$F,B221),"")</f>
        <v>7.1999999999999995E-2</v>
      </c>
      <c r="G221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Master'!$F:$F,B221),"")</f>
        <v>143</v>
      </c>
      <c r="H221">
        <f>IF(AND(ISNUMBER(C221),C221&gt;='Bulk Calculator'!U22/('Bulk Calculator'!J22*'Bulk Calculator'!L22)),1,0)</f>
        <v>1</v>
      </c>
      <c r="I221">
        <f>IFERROR(IF(AND(ISNUMBER(E221),ISNUMBER(F221),E221&gt;0,F221&gt;0),SQRT(3)*'Bulk Calculator'!O22*'Bulk Calculator'!AA22*((E221*'Bulk Calculator'!Q22)+(F221*SQRT(1-'Bulk Calculator'!Q22^2)))/'Bulk Calculator'!J22/'Bulk Calculator'!K22*100,D221*'Bulk Calculator'!AA22*'Bulk Calculator'!O22/'Bulk Calculator'!J22/'Bulk Calculator'!K22*100),"")</f>
        <v>0</v>
      </c>
      <c r="J221">
        <f>IFERROR(IF(AND(ISNUMBER(E221),ISNUMBER(F221),E221&gt;0,F221&gt;0),SQRT(3)*'Bulk Calculator'!O22*'Bulk Calculator'!U22*((E221*'Bulk Calculator'!M22)+(F221*SQRT(1-'Bulk Calculator'!M22^2)))/'Bulk Calculator'!J22/'Bulk Calculator'!K22*100,D221*'Bulk Calculator'!U22*'Bulk Calculator'!O22/'Bulk Calculator'!J22/'Bulk Calculator'!K22*100),"")</f>
        <v>0</v>
      </c>
      <c r="K221">
        <f>IFERROR(G221*B221*'Bulk Calculator'!J22/SQRT('Bulk Calculator'!S22)/1000,"")</f>
        <v>59.155178344756941</v>
      </c>
      <c r="L221">
        <f>IF(OR('Bulk Calculator'!R22="",'Bulk Calculator'!S22="",G221=""),0,IF(K221&gt;='Bulk Calculator'!R22,1,0))</f>
        <v>1</v>
      </c>
      <c r="M221">
        <f>IF(AND(H221=1,I221&lt;='OS-DORAEN'!$B$6,J221&lt;='OS-DORAEN'!$B$5,L221=1),1,0)</f>
        <v>1</v>
      </c>
      <c r="N221" t="str">
        <f t="shared" si="3"/>
        <v>R/X</v>
      </c>
    </row>
    <row r="222" spans="1:14" ht="15" customHeight="1" x14ac:dyDescent="0.35">
      <c r="A222">
        <v>22</v>
      </c>
      <c r="B222">
        <v>150</v>
      </c>
      <c r="C222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Master'!$F:$F,B222),"")</f>
        <v>292</v>
      </c>
      <c r="D222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Master'!$F:$F,B222),"")</f>
        <v>0.26500000000000001</v>
      </c>
      <c r="E222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Master'!$F:$F,B222),"")</f>
        <v>0.26500000000000001</v>
      </c>
      <c r="F222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Master'!$F:$F,B222),"")</f>
        <v>7.1999999999999995E-2</v>
      </c>
      <c r="G222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Master'!$F:$F,B222),"")</f>
        <v>143</v>
      </c>
      <c r="H222">
        <f>IF(AND(ISNUMBER(C222),C222&gt;='Bulk Calculator'!U22/('Bulk Calculator'!J22*'Bulk Calculator'!L22)),1,0)</f>
        <v>1</v>
      </c>
      <c r="I222">
        <f>IFERROR(IF(AND(ISNUMBER(E222),ISNUMBER(F222),E222&gt;0,F222&gt;0),SQRT(3)*'Bulk Calculator'!O22*'Bulk Calculator'!AA22*((E222*'Bulk Calculator'!Q22)+(F222*SQRT(1-'Bulk Calculator'!Q22^2)))/'Bulk Calculator'!J22/'Bulk Calculator'!K22*100,D222*'Bulk Calculator'!AA22*'Bulk Calculator'!O22/'Bulk Calculator'!J22/'Bulk Calculator'!K22*100),"")</f>
        <v>0</v>
      </c>
      <c r="J222">
        <f>IFERROR(IF(AND(ISNUMBER(E222),ISNUMBER(F222),E222&gt;0,F222&gt;0),SQRT(3)*'Bulk Calculator'!O22*'Bulk Calculator'!U22*((E222*'Bulk Calculator'!M22)+(F222*SQRT(1-'Bulk Calculator'!M22^2)))/'Bulk Calculator'!J22/'Bulk Calculator'!K22*100,D222*'Bulk Calculator'!U22*'Bulk Calculator'!O22/'Bulk Calculator'!J22/'Bulk Calculator'!K22*100),"")</f>
        <v>0</v>
      </c>
      <c r="K222">
        <f>IFERROR(G222*B222*'Bulk Calculator'!J22/SQRT('Bulk Calculator'!S22)/1000,"")</f>
        <v>47.963658117370493</v>
      </c>
      <c r="L222">
        <f>IF(OR('Bulk Calculator'!R22="",'Bulk Calculator'!S22="",G222=""),0,IF(K222&gt;='Bulk Calculator'!R22,1,0))</f>
        <v>1</v>
      </c>
      <c r="M222">
        <f>IF(AND(H222=1,I222&lt;='OS-DORAEN'!$B$6,J222&lt;='OS-DORAEN'!$B$5,L222=1),1,0)</f>
        <v>1</v>
      </c>
      <c r="N222" t="str">
        <f t="shared" si="3"/>
        <v>R/X</v>
      </c>
    </row>
    <row r="223" spans="1:14" ht="15" customHeight="1" x14ac:dyDescent="0.35">
      <c r="A223">
        <v>22</v>
      </c>
      <c r="B223">
        <v>120</v>
      </c>
      <c r="C223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Master'!$F:$F,B223),"")</f>
        <v>257</v>
      </c>
      <c r="D223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Master'!$F:$F,B223),"")</f>
        <v>0.32500000000000001</v>
      </c>
      <c r="E223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Master'!$F:$F,B223),"")</f>
        <v>0.32500000000000001</v>
      </c>
      <c r="F223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Master'!$F:$F,B223),"")</f>
        <v>7.1999999999999995E-2</v>
      </c>
      <c r="G223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Master'!$F:$F,B223),"")</f>
        <v>143</v>
      </c>
      <c r="H223">
        <f>IF(AND(ISNUMBER(C223),C223&gt;='Bulk Calculator'!U22/('Bulk Calculator'!J22*'Bulk Calculator'!L22)),1,0)</f>
        <v>1</v>
      </c>
      <c r="I223">
        <f>IFERROR(IF(AND(ISNUMBER(E223),ISNUMBER(F223),E223&gt;0,F223&gt;0),SQRT(3)*'Bulk Calculator'!O22*'Bulk Calculator'!AA22*((E223*'Bulk Calculator'!Q22)+(F223*SQRT(1-'Bulk Calculator'!Q22^2)))/'Bulk Calculator'!J22/'Bulk Calculator'!K22*100,D223*'Bulk Calculator'!AA22*'Bulk Calculator'!O22/'Bulk Calculator'!J22/'Bulk Calculator'!K22*100),"")</f>
        <v>0</v>
      </c>
      <c r="J223">
        <f>IFERROR(IF(AND(ISNUMBER(E223),ISNUMBER(F223),E223&gt;0,F223&gt;0),SQRT(3)*'Bulk Calculator'!O22*'Bulk Calculator'!U22*((E223*'Bulk Calculator'!M22)+(F223*SQRT(1-'Bulk Calculator'!M22^2)))/'Bulk Calculator'!J22/'Bulk Calculator'!K22*100,D223*'Bulk Calculator'!U22*'Bulk Calculator'!O22/'Bulk Calculator'!J22/'Bulk Calculator'!K22*100),"")</f>
        <v>0</v>
      </c>
      <c r="K223">
        <f>IFERROR(G223*B223*'Bulk Calculator'!J22/SQRT('Bulk Calculator'!S22)/1000,"")</f>
        <v>38.370926493896391</v>
      </c>
      <c r="L223">
        <f>IF(OR('Bulk Calculator'!R22="",'Bulk Calculator'!S22="",G223=""),0,IF(K223&gt;='Bulk Calculator'!R22,1,0))</f>
        <v>1</v>
      </c>
      <c r="M223">
        <f>IF(AND(H223=1,I223&lt;='OS-DORAEN'!$B$6,J223&lt;='OS-DORAEN'!$B$5,L223=1),1,0)</f>
        <v>1</v>
      </c>
      <c r="N223" t="str">
        <f t="shared" si="3"/>
        <v>R/X</v>
      </c>
    </row>
    <row r="224" spans="1:14" ht="15" customHeight="1" x14ac:dyDescent="0.35">
      <c r="A224">
        <v>22</v>
      </c>
      <c r="B224">
        <v>95</v>
      </c>
      <c r="C224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Master'!$F:$F,B224),"")</f>
        <v>221</v>
      </c>
      <c r="D224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Master'!$F:$F,B224),"")</f>
        <v>0.41</v>
      </c>
      <c r="E224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Master'!$F:$F,B224),"")</f>
        <v>0.41</v>
      </c>
      <c r="F224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Master'!$F:$F,B224),"")</f>
        <v>7.3999999999999996E-2</v>
      </c>
      <c r="G224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Master'!$F:$F,B224),"")</f>
        <v>143</v>
      </c>
      <c r="H224">
        <f>IF(AND(ISNUMBER(C224),C224&gt;='Bulk Calculator'!U22/('Bulk Calculator'!J22*'Bulk Calculator'!L22)),1,0)</f>
        <v>1</v>
      </c>
      <c r="I224">
        <f>IFERROR(IF(AND(ISNUMBER(E224),ISNUMBER(F224),E224&gt;0,F224&gt;0),SQRT(3)*'Bulk Calculator'!O22*'Bulk Calculator'!AA22*((E224*'Bulk Calculator'!Q22)+(F224*SQRT(1-'Bulk Calculator'!Q22^2)))/'Bulk Calculator'!J22/'Bulk Calculator'!K22*100,D224*'Bulk Calculator'!AA22*'Bulk Calculator'!O22/'Bulk Calculator'!J22/'Bulk Calculator'!K22*100),"")</f>
        <v>0</v>
      </c>
      <c r="J224">
        <f>IFERROR(IF(AND(ISNUMBER(E224),ISNUMBER(F224),E224&gt;0,F224&gt;0),SQRT(3)*'Bulk Calculator'!O22*'Bulk Calculator'!U22*((E224*'Bulk Calculator'!M22)+(F224*SQRT(1-'Bulk Calculator'!M22^2)))/'Bulk Calculator'!J22/'Bulk Calculator'!K22*100,D224*'Bulk Calculator'!U22*'Bulk Calculator'!O22/'Bulk Calculator'!J22/'Bulk Calculator'!K22*100),"")</f>
        <v>0</v>
      </c>
      <c r="K224">
        <f>IFERROR(G224*B224*'Bulk Calculator'!J22/SQRT('Bulk Calculator'!S22)/1000,"")</f>
        <v>30.376983474334644</v>
      </c>
      <c r="L224">
        <f>IF(OR('Bulk Calculator'!R22="",'Bulk Calculator'!S22="",G224=""),0,IF(K224&gt;='Bulk Calculator'!R22,1,0))</f>
        <v>1</v>
      </c>
      <c r="M224">
        <f>IF(AND(H224=1,I224&lt;='OS-DORAEN'!$B$6,J224&lt;='OS-DORAEN'!$B$5,L224=1),1,0)</f>
        <v>1</v>
      </c>
      <c r="N224" t="str">
        <f t="shared" si="3"/>
        <v>R/X</v>
      </c>
    </row>
    <row r="225" spans="1:14" ht="15" customHeight="1" x14ac:dyDescent="0.35">
      <c r="A225">
        <v>22</v>
      </c>
      <c r="B225">
        <v>70</v>
      </c>
      <c r="C225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Master'!$F:$F,B225),"")</f>
        <v>179</v>
      </c>
      <c r="D225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Master'!$F:$F,B225),"")</f>
        <v>0.56699999999999995</v>
      </c>
      <c r="E225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Master'!$F:$F,B225),"")</f>
        <v>0.56699999999999995</v>
      </c>
      <c r="F225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Master'!$F:$F,B225),"")</f>
        <v>7.6999999999999999E-2</v>
      </c>
      <c r="G225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Master'!$F:$F,B225),"")</f>
        <v>143</v>
      </c>
      <c r="H225">
        <f>IF(AND(ISNUMBER(C225),C225&gt;='Bulk Calculator'!U22/('Bulk Calculator'!J22*'Bulk Calculator'!L22)),1,0)</f>
        <v>1</v>
      </c>
      <c r="I225">
        <f>IFERROR(IF(AND(ISNUMBER(E225),ISNUMBER(F225),E225&gt;0,F225&gt;0),SQRT(3)*'Bulk Calculator'!O22*'Bulk Calculator'!AA22*((E225*'Bulk Calculator'!Q22)+(F225*SQRT(1-'Bulk Calculator'!Q22^2)))/'Bulk Calculator'!J22/'Bulk Calculator'!K22*100,D225*'Bulk Calculator'!AA22*'Bulk Calculator'!O22/'Bulk Calculator'!J22/'Bulk Calculator'!K22*100),"")</f>
        <v>0</v>
      </c>
      <c r="J225">
        <f>IFERROR(IF(AND(ISNUMBER(E225),ISNUMBER(F225),E225&gt;0,F225&gt;0),SQRT(3)*'Bulk Calculator'!O22*'Bulk Calculator'!U22*((E225*'Bulk Calculator'!M22)+(F225*SQRT(1-'Bulk Calculator'!M22^2)))/'Bulk Calculator'!J22/'Bulk Calculator'!K22*100,D225*'Bulk Calculator'!U22*'Bulk Calculator'!O22/'Bulk Calculator'!J22/'Bulk Calculator'!K22*100),"")</f>
        <v>0</v>
      </c>
      <c r="K225">
        <f>IFERROR(G225*B225*'Bulk Calculator'!J22/SQRT('Bulk Calculator'!S22)/1000,"")</f>
        <v>22.383040454772893</v>
      </c>
      <c r="L225">
        <f>IF(OR('Bulk Calculator'!R22="",'Bulk Calculator'!S22="",G225=""),0,IF(K225&gt;='Bulk Calculator'!R22,1,0))</f>
        <v>1</v>
      </c>
      <c r="M225">
        <f>IF(AND(H225=1,I225&lt;='OS-DORAEN'!$B$6,J225&lt;='OS-DORAEN'!$B$5,L225=1),1,0)</f>
        <v>1</v>
      </c>
      <c r="N225" t="str">
        <f t="shared" si="3"/>
        <v>R/X</v>
      </c>
    </row>
    <row r="226" spans="1:14" ht="15" customHeight="1" x14ac:dyDescent="0.35">
      <c r="A226">
        <v>22</v>
      </c>
      <c r="B226">
        <v>50</v>
      </c>
      <c r="C226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Master'!$F:$F,B226),"")</f>
        <v>142</v>
      </c>
      <c r="D226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Master'!$F:$F,B226),"")</f>
        <v>0.82</v>
      </c>
      <c r="E226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Master'!$F:$F,B226),"")</f>
        <v>0.82</v>
      </c>
      <c r="F226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Master'!$F:$F,B226),"")</f>
        <v>7.8E-2</v>
      </c>
      <c r="G226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Master'!$F:$F,B226),"")</f>
        <v>143</v>
      </c>
      <c r="H226">
        <f>IF(AND(ISNUMBER(C226),C226&gt;='Bulk Calculator'!U22/('Bulk Calculator'!J22*'Bulk Calculator'!L22)),1,0)</f>
        <v>1</v>
      </c>
      <c r="I226">
        <f>IFERROR(IF(AND(ISNUMBER(E226),ISNUMBER(F226),E226&gt;0,F226&gt;0),SQRT(3)*'Bulk Calculator'!O22*'Bulk Calculator'!AA22*((E226*'Bulk Calculator'!Q22)+(F226*SQRT(1-'Bulk Calculator'!Q22^2)))/'Bulk Calculator'!J22/'Bulk Calculator'!K22*100,D226*'Bulk Calculator'!AA22*'Bulk Calculator'!O22/'Bulk Calculator'!J22/'Bulk Calculator'!K22*100),"")</f>
        <v>0</v>
      </c>
      <c r="J226">
        <f>IFERROR(IF(AND(ISNUMBER(E226),ISNUMBER(F226),E226&gt;0,F226&gt;0),SQRT(3)*'Bulk Calculator'!O22*'Bulk Calculator'!U22*((E226*'Bulk Calculator'!M22)+(F226*SQRT(1-'Bulk Calculator'!M22^2)))/'Bulk Calculator'!J22/'Bulk Calculator'!K22*100,D226*'Bulk Calculator'!U22*'Bulk Calculator'!O22/'Bulk Calculator'!J22/'Bulk Calculator'!K22*100),"")</f>
        <v>0</v>
      </c>
      <c r="K226">
        <f>IFERROR(G226*B226*'Bulk Calculator'!J22/SQRT('Bulk Calculator'!S22)/1000,"")</f>
        <v>15.987886039123497</v>
      </c>
      <c r="L226">
        <f>IF(OR('Bulk Calculator'!R22="",'Bulk Calculator'!S22="",G226=""),0,IF(K226&gt;='Bulk Calculator'!R22,1,0))</f>
        <v>1</v>
      </c>
      <c r="M226">
        <f>IF(AND(H226=1,I226&lt;='OS-DORAEN'!$B$6,J226&lt;='OS-DORAEN'!$B$5,L226=1),1,0)</f>
        <v>1</v>
      </c>
      <c r="N226" t="str">
        <f t="shared" si="3"/>
        <v>R/X</v>
      </c>
    </row>
    <row r="227" spans="1:14" ht="15" customHeight="1" x14ac:dyDescent="0.35">
      <c r="A227">
        <v>22</v>
      </c>
      <c r="B227">
        <v>35</v>
      </c>
      <c r="C227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Master'!$F:$F,B227),"")</f>
        <v>117</v>
      </c>
      <c r="D227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Master'!$F:$F,B227),"")</f>
        <v>1.1100000000000001</v>
      </c>
      <c r="E227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Master'!$F:$F,B227),"")</f>
        <v>1.1100000000000001</v>
      </c>
      <c r="F227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Master'!$F:$F,B227),"")</f>
        <v>0.08</v>
      </c>
      <c r="G227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Master'!$F:$F,B227),"")</f>
        <v>143</v>
      </c>
      <c r="H227">
        <f>IF(AND(ISNUMBER(C227),C227&gt;='Bulk Calculator'!U22/('Bulk Calculator'!J22*'Bulk Calculator'!L22)),1,0)</f>
        <v>1</v>
      </c>
      <c r="I227">
        <f>IFERROR(IF(AND(ISNUMBER(E227),ISNUMBER(F227),E227&gt;0,F227&gt;0),SQRT(3)*'Bulk Calculator'!O22*'Bulk Calculator'!AA22*((E227*'Bulk Calculator'!Q22)+(F227*SQRT(1-'Bulk Calculator'!Q22^2)))/'Bulk Calculator'!J22/'Bulk Calculator'!K22*100,D227*'Bulk Calculator'!AA22*'Bulk Calculator'!O22/'Bulk Calculator'!J22/'Bulk Calculator'!K22*100),"")</f>
        <v>0</v>
      </c>
      <c r="J227">
        <f>IFERROR(IF(AND(ISNUMBER(E227),ISNUMBER(F227),E227&gt;0,F227&gt;0),SQRT(3)*'Bulk Calculator'!O22*'Bulk Calculator'!U22*((E227*'Bulk Calculator'!M22)+(F227*SQRT(1-'Bulk Calculator'!M22^2)))/'Bulk Calculator'!J22/'Bulk Calculator'!K22*100,D227*'Bulk Calculator'!U22*'Bulk Calculator'!O22/'Bulk Calculator'!J22/'Bulk Calculator'!K22*100),"")</f>
        <v>0</v>
      </c>
      <c r="K227">
        <f>IFERROR(G227*B227*'Bulk Calculator'!J22/SQRT('Bulk Calculator'!S22)/1000,"")</f>
        <v>11.191520227386446</v>
      </c>
      <c r="L227">
        <f>IF(OR('Bulk Calculator'!R22="",'Bulk Calculator'!S22="",G227=""),0,IF(K227&gt;='Bulk Calculator'!R22,1,0))</f>
        <v>1</v>
      </c>
      <c r="M227">
        <f>IF(AND(H227=1,I227&lt;='OS-DORAEN'!$B$6,J227&lt;='OS-DORAEN'!$B$5,L227=1),1,0)</f>
        <v>1</v>
      </c>
      <c r="N227" t="str">
        <f t="shared" si="3"/>
        <v>R/X</v>
      </c>
    </row>
    <row r="228" spans="1:14" ht="15" customHeight="1" x14ac:dyDescent="0.35">
      <c r="A228">
        <v>22</v>
      </c>
      <c r="B228">
        <v>25</v>
      </c>
      <c r="C228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Master'!$F:$F,B228),"")</f>
        <v>96</v>
      </c>
      <c r="D228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Master'!$F:$F,B228),"")</f>
        <v>1.54</v>
      </c>
      <c r="E228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Master'!$F:$F,B228),"")</f>
        <v>1.54</v>
      </c>
      <c r="F228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Master'!$F:$F,B228),"")</f>
        <v>0.08</v>
      </c>
      <c r="G228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Master'!$F:$F,B228),"")</f>
        <v>143</v>
      </c>
      <c r="H228">
        <f>IF(AND(ISNUMBER(C228),C228&gt;='Bulk Calculator'!U22/('Bulk Calculator'!J22*'Bulk Calculator'!L22)),1,0)</f>
        <v>1</v>
      </c>
      <c r="I228">
        <f>IFERROR(IF(AND(ISNUMBER(E228),ISNUMBER(F228),E228&gt;0,F228&gt;0),SQRT(3)*'Bulk Calculator'!O22*'Bulk Calculator'!AA22*((E228*'Bulk Calculator'!Q22)+(F228*SQRT(1-'Bulk Calculator'!Q22^2)))/'Bulk Calculator'!J22/'Bulk Calculator'!K22*100,D228*'Bulk Calculator'!AA22*'Bulk Calculator'!O22/'Bulk Calculator'!J22/'Bulk Calculator'!K22*100),"")</f>
        <v>0</v>
      </c>
      <c r="J228">
        <f>IFERROR(IF(AND(ISNUMBER(E228),ISNUMBER(F228),E228&gt;0,F228&gt;0),SQRT(3)*'Bulk Calculator'!O22*'Bulk Calculator'!U22*((E228*'Bulk Calculator'!M22)+(F228*SQRT(1-'Bulk Calculator'!M22^2)))/'Bulk Calculator'!J22/'Bulk Calculator'!K22*100,D228*'Bulk Calculator'!U22*'Bulk Calculator'!O22/'Bulk Calculator'!J22/'Bulk Calculator'!K22*100),"")</f>
        <v>0</v>
      </c>
      <c r="K228">
        <f>IFERROR(G228*B228*'Bulk Calculator'!J22/SQRT('Bulk Calculator'!S22)/1000,"")</f>
        <v>7.9939430195617485</v>
      </c>
      <c r="L228">
        <f>IF(OR('Bulk Calculator'!R22="",'Bulk Calculator'!S22="",G228=""),0,IF(K228&gt;='Bulk Calculator'!R22,1,0))</f>
        <v>1</v>
      </c>
      <c r="M228">
        <f>IF(AND(H228=1,I228&lt;='OS-DORAEN'!$B$6,J228&lt;='OS-DORAEN'!$B$5,L228=1),1,0)</f>
        <v>1</v>
      </c>
      <c r="N228" t="str">
        <f t="shared" si="3"/>
        <v>R/X</v>
      </c>
    </row>
    <row r="229" spans="1:14" ht="15" customHeight="1" x14ac:dyDescent="0.35">
      <c r="A229">
        <v>22</v>
      </c>
      <c r="B229">
        <v>16</v>
      </c>
      <c r="C229">
        <f>IFERROR(SUMIFS('Cable Data Master'!$G:$G,'Cable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Master'!$F:$F,B229),"")</f>
        <v>0</v>
      </c>
      <c r="D229">
        <f>IFERROR(SUMIFS('Cable Data Master'!$K:$K,'Cable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Master'!$F:$F,B229),"")</f>
        <v>0</v>
      </c>
      <c r="E229">
        <f>IFERROR(SUMIFS('Cable Data Master'!$H:$H,'Cable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Master'!$F:$F,B229),"")</f>
        <v>0</v>
      </c>
      <c r="F229">
        <f>IFERROR(SUMIFS('Cable Data Master'!$I:$I,'Cable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Master'!$F:$F,B229),"")</f>
        <v>0</v>
      </c>
      <c r="G229">
        <f>IFERROR(SUMIFS('Cable Data Master'!$J:$J,'Cable Data Master'!$A:$A,'Bulk Calculator'!$BF22,'Cable Data Master'!$B:$B,'Bulk Calculator'!$BG22,'Cable Data Master'!$C:$C,'Bulk Calculator'!$BH22,'Cable Data Master'!$D:$D,'Bulk Calculator'!$BI22,'Cable Data Master'!$E:$E,'Bulk Calculator'!$BJ22,'Cable Data Master'!$F:$F,B229),"")</f>
        <v>0</v>
      </c>
      <c r="H229">
        <f>IF(AND(ISNUMBER(C229),C229&gt;='Bulk Calculator'!U22/('Bulk Calculator'!J22*'Bulk Calculator'!L22)),1,0)</f>
        <v>1</v>
      </c>
      <c r="I229">
        <f>IFERROR(IF(AND(ISNUMBER(E229),ISNUMBER(F229),E229&gt;0,F229&gt;0),SQRT(3)*'Bulk Calculator'!O22*'Bulk Calculator'!AA22*((E229*'Bulk Calculator'!Q22)+(F229*SQRT(1-'Bulk Calculator'!Q22^2)))/'Bulk Calculator'!J22/'Bulk Calculator'!K22*100,D229*'Bulk Calculator'!AA22*'Bulk Calculator'!O22/'Bulk Calculator'!J22/'Bulk Calculator'!K22*100),"")</f>
        <v>0</v>
      </c>
      <c r="J229">
        <f>IFERROR(IF(AND(ISNUMBER(E229),ISNUMBER(F229),E229&gt;0,F229&gt;0),SQRT(3)*'Bulk Calculator'!O22*'Bulk Calculator'!U22*((E229*'Bulk Calculator'!M22)+(F229*SQRT(1-'Bulk Calculator'!M22^2)))/'Bulk Calculator'!J22/'Bulk Calculator'!K22*100,D229*'Bulk Calculator'!U22*'Bulk Calculator'!O22/'Bulk Calculator'!J22/'Bulk Calculator'!K22*100),"")</f>
        <v>0</v>
      </c>
      <c r="K229">
        <f>IFERROR(G229*B229*'Bulk Calculator'!J22/SQRT('Bulk Calculator'!S22)/1000,"")</f>
        <v>0</v>
      </c>
      <c r="L229">
        <f>IF(OR('Bulk Calculator'!R22="",'Bulk Calculator'!S22="",G229=""),0,IF(K229&gt;='Bulk Calculator'!R22,1,0))</f>
        <v>1</v>
      </c>
      <c r="M229">
        <f>IF(AND(H229=1,I229&lt;='OS-DORAEN'!$B$6,J229&lt;='OS-DORAEN'!$B$5,L229=1),1,0)</f>
        <v>1</v>
      </c>
      <c r="N229" t="str">
        <f t="shared" si="3"/>
        <v>Manufacturer VD Ref</v>
      </c>
    </row>
    <row r="230" spans="1:14" ht="15" customHeight="1" x14ac:dyDescent="0.35">
      <c r="A230">
        <v>23</v>
      </c>
      <c r="B230">
        <v>400</v>
      </c>
      <c r="C230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Master'!$F:$F,B230),"")</f>
        <v>530</v>
      </c>
      <c r="D230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Master'!$F:$F,B230),"")</f>
        <v>0.1023</v>
      </c>
      <c r="E230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Master'!$F:$F,B230),"")</f>
        <v>0.1023</v>
      </c>
      <c r="F230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Master'!$F:$F,B230),"")</f>
        <v>7.0000000000000007E-2</v>
      </c>
      <c r="G230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Master'!$F:$F,B230),"")</f>
        <v>143</v>
      </c>
      <c r="H230">
        <f>IF(AND(ISNUMBER(C230),C230&gt;='Bulk Calculator'!U23/('Bulk Calculator'!J23*'Bulk Calculator'!L23)),1,0)</f>
        <v>1</v>
      </c>
      <c r="I230">
        <f>IFERROR(IF(AND(ISNUMBER(E230),ISNUMBER(F230),E230&gt;0,F230&gt;0),SQRT(3)*'Bulk Calculator'!O23*'Bulk Calculator'!AA23*((E230*'Bulk Calculator'!Q23)+(F230*SQRT(1-'Bulk Calculator'!Q23^2)))/'Bulk Calculator'!J23/'Bulk Calculator'!K23*100,D230*'Bulk Calculator'!AA23*'Bulk Calculator'!O23/'Bulk Calculator'!J23/'Bulk Calculator'!K23*100),"")</f>
        <v>0</v>
      </c>
      <c r="J230">
        <f>IFERROR(IF(AND(ISNUMBER(E230),ISNUMBER(F230),E230&gt;0,F230&gt;0),SQRT(3)*'Bulk Calculator'!O23*'Bulk Calculator'!U23*((E230*'Bulk Calculator'!M23)+(F230*SQRT(1-'Bulk Calculator'!M23^2)))/'Bulk Calculator'!J23/'Bulk Calculator'!K23*100,D230*'Bulk Calculator'!U23*'Bulk Calculator'!O23/'Bulk Calculator'!J23/'Bulk Calculator'!K23*100),"")</f>
        <v>0</v>
      </c>
      <c r="K230">
        <f>IFERROR(G230*B230*'Bulk Calculator'!J23/SQRT('Bulk Calculator'!S23)/1000,"")</f>
        <v>127.90308831298798</v>
      </c>
      <c r="L230">
        <f>IF(OR('Bulk Calculator'!R23="",'Bulk Calculator'!S23="",G230=""),0,IF(K230&gt;='Bulk Calculator'!R23,1,0))</f>
        <v>1</v>
      </c>
      <c r="M230">
        <f>IF(AND(H230=1,I230&lt;='OS-DORAEN'!$B$6,J230&lt;='OS-DORAEN'!$B$5,L230=1),1,0)</f>
        <v>1</v>
      </c>
      <c r="N230" t="str">
        <f t="shared" si="3"/>
        <v>R/X</v>
      </c>
    </row>
    <row r="231" spans="1:14" ht="15" customHeight="1" x14ac:dyDescent="0.35">
      <c r="A231">
        <v>23</v>
      </c>
      <c r="B231">
        <v>300</v>
      </c>
      <c r="C231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Master'!$F:$F,B231),"")</f>
        <v>455</v>
      </c>
      <c r="D231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Master'!$F:$F,B231),"")</f>
        <v>0.13</v>
      </c>
      <c r="E231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Master'!$F:$F,B231),"")</f>
        <v>0.13</v>
      </c>
      <c r="F231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Master'!$F:$F,B231),"")</f>
        <v>7.0999999999999994E-2</v>
      </c>
      <c r="G231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Master'!$F:$F,B231),"")</f>
        <v>143</v>
      </c>
      <c r="H231">
        <f>IF(AND(ISNUMBER(C231),C231&gt;='Bulk Calculator'!U23/('Bulk Calculator'!J23*'Bulk Calculator'!L23)),1,0)</f>
        <v>1</v>
      </c>
      <c r="I231">
        <f>IFERROR(IF(AND(ISNUMBER(E231),ISNUMBER(F231),E231&gt;0,F231&gt;0),SQRT(3)*'Bulk Calculator'!O23*'Bulk Calculator'!AA23*((E231*'Bulk Calculator'!Q23)+(F231*SQRT(1-'Bulk Calculator'!Q23^2)))/'Bulk Calculator'!J23/'Bulk Calculator'!K23*100,D231*'Bulk Calculator'!AA23*'Bulk Calculator'!O23/'Bulk Calculator'!J23/'Bulk Calculator'!K23*100),"")</f>
        <v>0</v>
      </c>
      <c r="J231">
        <f>IFERROR(IF(AND(ISNUMBER(E231),ISNUMBER(F231),E231&gt;0,F231&gt;0),SQRT(3)*'Bulk Calculator'!O23*'Bulk Calculator'!U23*((E231*'Bulk Calculator'!M23)+(F231*SQRT(1-'Bulk Calculator'!M23^2)))/'Bulk Calculator'!J23/'Bulk Calculator'!K23*100,D231*'Bulk Calculator'!U23*'Bulk Calculator'!O23/'Bulk Calculator'!J23/'Bulk Calculator'!K23*100),"")</f>
        <v>0</v>
      </c>
      <c r="K231">
        <f>IFERROR(G231*B231*'Bulk Calculator'!J23/SQRT('Bulk Calculator'!S23)/1000,"")</f>
        <v>95.927316234740985</v>
      </c>
      <c r="L231">
        <f>IF(OR('Bulk Calculator'!R23="",'Bulk Calculator'!S23="",G231=""),0,IF(K231&gt;='Bulk Calculator'!R23,1,0))</f>
        <v>1</v>
      </c>
      <c r="M231">
        <f>IF(AND(H231=1,I231&lt;='OS-DORAEN'!$B$6,J231&lt;='OS-DORAEN'!$B$5,L231=1),1,0)</f>
        <v>1</v>
      </c>
      <c r="N231" t="str">
        <f t="shared" si="3"/>
        <v>R/X</v>
      </c>
    </row>
    <row r="232" spans="1:14" ht="15" customHeight="1" x14ac:dyDescent="0.35">
      <c r="A232">
        <v>23</v>
      </c>
      <c r="B232">
        <v>240</v>
      </c>
      <c r="C232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Master'!$F:$F,B232),"")</f>
        <v>399</v>
      </c>
      <c r="D232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Master'!$F:$F,B232),"")</f>
        <v>0.16200000000000001</v>
      </c>
      <c r="E232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Master'!$F:$F,B232),"")</f>
        <v>0.16200000000000001</v>
      </c>
      <c r="F232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Master'!$F:$F,B232),"")</f>
        <v>7.1999999999999995E-2</v>
      </c>
      <c r="G232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Master'!$F:$F,B232),"")</f>
        <v>143</v>
      </c>
      <c r="H232">
        <f>IF(AND(ISNUMBER(C232),C232&gt;='Bulk Calculator'!U23/('Bulk Calculator'!J23*'Bulk Calculator'!L23)),1,0)</f>
        <v>1</v>
      </c>
      <c r="I232">
        <f>IFERROR(IF(AND(ISNUMBER(E232),ISNUMBER(F232),E232&gt;0,F232&gt;0),SQRT(3)*'Bulk Calculator'!O23*'Bulk Calculator'!AA23*((E232*'Bulk Calculator'!Q23)+(F232*SQRT(1-'Bulk Calculator'!Q23^2)))/'Bulk Calculator'!J23/'Bulk Calculator'!K23*100,D232*'Bulk Calculator'!AA23*'Bulk Calculator'!O23/'Bulk Calculator'!J23/'Bulk Calculator'!K23*100),"")</f>
        <v>0</v>
      </c>
      <c r="J232">
        <f>IFERROR(IF(AND(ISNUMBER(E232),ISNUMBER(F232),E232&gt;0,F232&gt;0),SQRT(3)*'Bulk Calculator'!O23*'Bulk Calculator'!U23*((E232*'Bulk Calculator'!M23)+(F232*SQRT(1-'Bulk Calculator'!M23^2)))/'Bulk Calculator'!J23/'Bulk Calculator'!K23*100,D232*'Bulk Calculator'!U23*'Bulk Calculator'!O23/'Bulk Calculator'!J23/'Bulk Calculator'!K23*100),"")</f>
        <v>0</v>
      </c>
      <c r="K232">
        <f>IFERROR(G232*B232*'Bulk Calculator'!J23/SQRT('Bulk Calculator'!S23)/1000,"")</f>
        <v>76.741852987792782</v>
      </c>
      <c r="L232">
        <f>IF(OR('Bulk Calculator'!R23="",'Bulk Calculator'!S23="",G232=""),0,IF(K232&gt;='Bulk Calculator'!R23,1,0))</f>
        <v>1</v>
      </c>
      <c r="M232">
        <f>IF(AND(H232=1,I232&lt;='OS-DORAEN'!$B$6,J232&lt;='OS-DORAEN'!$B$5,L232=1),1,0)</f>
        <v>1</v>
      </c>
      <c r="N232" t="str">
        <f t="shared" si="3"/>
        <v>R/X</v>
      </c>
    </row>
    <row r="233" spans="1:14" ht="15" customHeight="1" x14ac:dyDescent="0.35">
      <c r="A233">
        <v>23</v>
      </c>
      <c r="B233">
        <v>185</v>
      </c>
      <c r="C233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Master'!$F:$F,B233),"")</f>
        <v>337</v>
      </c>
      <c r="D233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Master'!$F:$F,B233),"")</f>
        <v>0.21099999999999999</v>
      </c>
      <c r="E233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Master'!$F:$F,B233),"")</f>
        <v>0.21099999999999999</v>
      </c>
      <c r="F233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Master'!$F:$F,B233),"")</f>
        <v>7.1999999999999995E-2</v>
      </c>
      <c r="G233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Master'!$F:$F,B233),"")</f>
        <v>143</v>
      </c>
      <c r="H233">
        <f>IF(AND(ISNUMBER(C233),C233&gt;='Bulk Calculator'!U23/('Bulk Calculator'!J23*'Bulk Calculator'!L23)),1,0)</f>
        <v>1</v>
      </c>
      <c r="I233">
        <f>IFERROR(IF(AND(ISNUMBER(E233),ISNUMBER(F233),E233&gt;0,F233&gt;0),SQRT(3)*'Bulk Calculator'!O23*'Bulk Calculator'!AA23*((E233*'Bulk Calculator'!Q23)+(F233*SQRT(1-'Bulk Calculator'!Q23^2)))/'Bulk Calculator'!J23/'Bulk Calculator'!K23*100,D233*'Bulk Calculator'!AA23*'Bulk Calculator'!O23/'Bulk Calculator'!J23/'Bulk Calculator'!K23*100),"")</f>
        <v>0</v>
      </c>
      <c r="J233">
        <f>IFERROR(IF(AND(ISNUMBER(E233),ISNUMBER(F233),E233&gt;0,F233&gt;0),SQRT(3)*'Bulk Calculator'!O23*'Bulk Calculator'!U23*((E233*'Bulk Calculator'!M23)+(F233*SQRT(1-'Bulk Calculator'!M23^2)))/'Bulk Calculator'!J23/'Bulk Calculator'!K23*100,D233*'Bulk Calculator'!U23*'Bulk Calculator'!O23/'Bulk Calculator'!J23/'Bulk Calculator'!K23*100),"")</f>
        <v>0</v>
      </c>
      <c r="K233">
        <f>IFERROR(G233*B233*'Bulk Calculator'!J23/SQRT('Bulk Calculator'!S23)/1000,"")</f>
        <v>59.155178344756941</v>
      </c>
      <c r="L233">
        <f>IF(OR('Bulk Calculator'!R23="",'Bulk Calculator'!S23="",G233=""),0,IF(K233&gt;='Bulk Calculator'!R23,1,0))</f>
        <v>1</v>
      </c>
      <c r="M233">
        <f>IF(AND(H233=1,I233&lt;='OS-DORAEN'!$B$6,J233&lt;='OS-DORAEN'!$B$5,L233=1),1,0)</f>
        <v>1</v>
      </c>
      <c r="N233" t="str">
        <f t="shared" si="3"/>
        <v>R/X</v>
      </c>
    </row>
    <row r="234" spans="1:14" ht="15" customHeight="1" x14ac:dyDescent="0.35">
      <c r="A234">
        <v>23</v>
      </c>
      <c r="B234">
        <v>150</v>
      </c>
      <c r="C234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Master'!$F:$F,B234),"")</f>
        <v>292</v>
      </c>
      <c r="D234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Master'!$F:$F,B234),"")</f>
        <v>0.26500000000000001</v>
      </c>
      <c r="E234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Master'!$F:$F,B234),"")</f>
        <v>0.26500000000000001</v>
      </c>
      <c r="F234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Master'!$F:$F,B234),"")</f>
        <v>7.1999999999999995E-2</v>
      </c>
      <c r="G234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Master'!$F:$F,B234),"")</f>
        <v>143</v>
      </c>
      <c r="H234">
        <f>IF(AND(ISNUMBER(C234),C234&gt;='Bulk Calculator'!U23/('Bulk Calculator'!J23*'Bulk Calculator'!L23)),1,0)</f>
        <v>1</v>
      </c>
      <c r="I234">
        <f>IFERROR(IF(AND(ISNUMBER(E234),ISNUMBER(F234),E234&gt;0,F234&gt;0),SQRT(3)*'Bulk Calculator'!O23*'Bulk Calculator'!AA23*((E234*'Bulk Calculator'!Q23)+(F234*SQRT(1-'Bulk Calculator'!Q23^2)))/'Bulk Calculator'!J23/'Bulk Calculator'!K23*100,D234*'Bulk Calculator'!AA23*'Bulk Calculator'!O23/'Bulk Calculator'!J23/'Bulk Calculator'!K23*100),"")</f>
        <v>0</v>
      </c>
      <c r="J234">
        <f>IFERROR(IF(AND(ISNUMBER(E234),ISNUMBER(F234),E234&gt;0,F234&gt;0),SQRT(3)*'Bulk Calculator'!O23*'Bulk Calculator'!U23*((E234*'Bulk Calculator'!M23)+(F234*SQRT(1-'Bulk Calculator'!M23^2)))/'Bulk Calculator'!J23/'Bulk Calculator'!K23*100,D234*'Bulk Calculator'!U23*'Bulk Calculator'!O23/'Bulk Calculator'!J23/'Bulk Calculator'!K23*100),"")</f>
        <v>0</v>
      </c>
      <c r="K234">
        <f>IFERROR(G234*B234*'Bulk Calculator'!J23/SQRT('Bulk Calculator'!S23)/1000,"")</f>
        <v>47.963658117370493</v>
      </c>
      <c r="L234">
        <f>IF(OR('Bulk Calculator'!R23="",'Bulk Calculator'!S23="",G234=""),0,IF(K234&gt;='Bulk Calculator'!R23,1,0))</f>
        <v>1</v>
      </c>
      <c r="M234">
        <f>IF(AND(H234=1,I234&lt;='OS-DORAEN'!$B$6,J234&lt;='OS-DORAEN'!$B$5,L234=1),1,0)</f>
        <v>1</v>
      </c>
      <c r="N234" t="str">
        <f t="shared" si="3"/>
        <v>R/X</v>
      </c>
    </row>
    <row r="235" spans="1:14" ht="15" customHeight="1" x14ac:dyDescent="0.35">
      <c r="A235">
        <v>23</v>
      </c>
      <c r="B235">
        <v>120</v>
      </c>
      <c r="C235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Master'!$F:$F,B235),"")</f>
        <v>257</v>
      </c>
      <c r="D235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Master'!$F:$F,B235),"")</f>
        <v>0.32500000000000001</v>
      </c>
      <c r="E235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Master'!$F:$F,B235),"")</f>
        <v>0.32500000000000001</v>
      </c>
      <c r="F235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Master'!$F:$F,B235),"")</f>
        <v>7.1999999999999995E-2</v>
      </c>
      <c r="G235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Master'!$F:$F,B235),"")</f>
        <v>143</v>
      </c>
      <c r="H235">
        <f>IF(AND(ISNUMBER(C235),C235&gt;='Bulk Calculator'!U23/('Bulk Calculator'!J23*'Bulk Calculator'!L23)),1,0)</f>
        <v>1</v>
      </c>
      <c r="I235">
        <f>IFERROR(IF(AND(ISNUMBER(E235),ISNUMBER(F235),E235&gt;0,F235&gt;0),SQRT(3)*'Bulk Calculator'!O23*'Bulk Calculator'!AA23*((E235*'Bulk Calculator'!Q23)+(F235*SQRT(1-'Bulk Calculator'!Q23^2)))/'Bulk Calculator'!J23/'Bulk Calculator'!K23*100,D235*'Bulk Calculator'!AA23*'Bulk Calculator'!O23/'Bulk Calculator'!J23/'Bulk Calculator'!K23*100),"")</f>
        <v>0</v>
      </c>
      <c r="J235">
        <f>IFERROR(IF(AND(ISNUMBER(E235),ISNUMBER(F235),E235&gt;0,F235&gt;0),SQRT(3)*'Bulk Calculator'!O23*'Bulk Calculator'!U23*((E235*'Bulk Calculator'!M23)+(F235*SQRT(1-'Bulk Calculator'!M23^2)))/'Bulk Calculator'!J23/'Bulk Calculator'!K23*100,D235*'Bulk Calculator'!U23*'Bulk Calculator'!O23/'Bulk Calculator'!J23/'Bulk Calculator'!K23*100),"")</f>
        <v>0</v>
      </c>
      <c r="K235">
        <f>IFERROR(G235*B235*'Bulk Calculator'!J23/SQRT('Bulk Calculator'!S23)/1000,"")</f>
        <v>38.370926493896391</v>
      </c>
      <c r="L235">
        <f>IF(OR('Bulk Calculator'!R23="",'Bulk Calculator'!S23="",G235=""),0,IF(K235&gt;='Bulk Calculator'!R23,1,0))</f>
        <v>1</v>
      </c>
      <c r="M235">
        <f>IF(AND(H235=1,I235&lt;='OS-DORAEN'!$B$6,J235&lt;='OS-DORAEN'!$B$5,L235=1),1,0)</f>
        <v>1</v>
      </c>
      <c r="N235" t="str">
        <f t="shared" si="3"/>
        <v>R/X</v>
      </c>
    </row>
    <row r="236" spans="1:14" ht="15" customHeight="1" x14ac:dyDescent="0.35">
      <c r="A236">
        <v>23</v>
      </c>
      <c r="B236">
        <v>95</v>
      </c>
      <c r="C236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Master'!$F:$F,B236),"")</f>
        <v>221</v>
      </c>
      <c r="D236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Master'!$F:$F,B236),"")</f>
        <v>0.41</v>
      </c>
      <c r="E236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Master'!$F:$F,B236),"")</f>
        <v>0.41</v>
      </c>
      <c r="F236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Master'!$F:$F,B236),"")</f>
        <v>7.3999999999999996E-2</v>
      </c>
      <c r="G236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Master'!$F:$F,B236),"")</f>
        <v>143</v>
      </c>
      <c r="H236">
        <f>IF(AND(ISNUMBER(C236),C236&gt;='Bulk Calculator'!U23/('Bulk Calculator'!J23*'Bulk Calculator'!L23)),1,0)</f>
        <v>1</v>
      </c>
      <c r="I236">
        <f>IFERROR(IF(AND(ISNUMBER(E236),ISNUMBER(F236),E236&gt;0,F236&gt;0),SQRT(3)*'Bulk Calculator'!O23*'Bulk Calculator'!AA23*((E236*'Bulk Calculator'!Q23)+(F236*SQRT(1-'Bulk Calculator'!Q23^2)))/'Bulk Calculator'!J23/'Bulk Calculator'!K23*100,D236*'Bulk Calculator'!AA23*'Bulk Calculator'!O23/'Bulk Calculator'!J23/'Bulk Calculator'!K23*100),"")</f>
        <v>0</v>
      </c>
      <c r="J236">
        <f>IFERROR(IF(AND(ISNUMBER(E236),ISNUMBER(F236),E236&gt;0,F236&gt;0),SQRT(3)*'Bulk Calculator'!O23*'Bulk Calculator'!U23*((E236*'Bulk Calculator'!M23)+(F236*SQRT(1-'Bulk Calculator'!M23^2)))/'Bulk Calculator'!J23/'Bulk Calculator'!K23*100,D236*'Bulk Calculator'!U23*'Bulk Calculator'!O23/'Bulk Calculator'!J23/'Bulk Calculator'!K23*100),"")</f>
        <v>0</v>
      </c>
      <c r="K236">
        <f>IFERROR(G236*B236*'Bulk Calculator'!J23/SQRT('Bulk Calculator'!S23)/1000,"")</f>
        <v>30.376983474334644</v>
      </c>
      <c r="L236">
        <f>IF(OR('Bulk Calculator'!R23="",'Bulk Calculator'!S23="",G236=""),0,IF(K236&gt;='Bulk Calculator'!R23,1,0))</f>
        <v>1</v>
      </c>
      <c r="M236">
        <f>IF(AND(H236=1,I236&lt;='OS-DORAEN'!$B$6,J236&lt;='OS-DORAEN'!$B$5,L236=1),1,0)</f>
        <v>1</v>
      </c>
      <c r="N236" t="str">
        <f t="shared" si="3"/>
        <v>R/X</v>
      </c>
    </row>
    <row r="237" spans="1:14" ht="15" customHeight="1" x14ac:dyDescent="0.35">
      <c r="A237">
        <v>23</v>
      </c>
      <c r="B237">
        <v>70</v>
      </c>
      <c r="C237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Master'!$F:$F,B237),"")</f>
        <v>179</v>
      </c>
      <c r="D237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Master'!$F:$F,B237),"")</f>
        <v>0.56699999999999995</v>
      </c>
      <c r="E237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Master'!$F:$F,B237),"")</f>
        <v>0.56699999999999995</v>
      </c>
      <c r="F237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Master'!$F:$F,B237),"")</f>
        <v>7.6999999999999999E-2</v>
      </c>
      <c r="G237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Master'!$F:$F,B237),"")</f>
        <v>143</v>
      </c>
      <c r="H237">
        <f>IF(AND(ISNUMBER(C237),C237&gt;='Bulk Calculator'!U23/('Bulk Calculator'!J23*'Bulk Calculator'!L23)),1,0)</f>
        <v>1</v>
      </c>
      <c r="I237">
        <f>IFERROR(IF(AND(ISNUMBER(E237),ISNUMBER(F237),E237&gt;0,F237&gt;0),SQRT(3)*'Bulk Calculator'!O23*'Bulk Calculator'!AA23*((E237*'Bulk Calculator'!Q23)+(F237*SQRT(1-'Bulk Calculator'!Q23^2)))/'Bulk Calculator'!J23/'Bulk Calculator'!K23*100,D237*'Bulk Calculator'!AA23*'Bulk Calculator'!O23/'Bulk Calculator'!J23/'Bulk Calculator'!K23*100),"")</f>
        <v>0</v>
      </c>
      <c r="J237">
        <f>IFERROR(IF(AND(ISNUMBER(E237),ISNUMBER(F237),E237&gt;0,F237&gt;0),SQRT(3)*'Bulk Calculator'!O23*'Bulk Calculator'!U23*((E237*'Bulk Calculator'!M23)+(F237*SQRT(1-'Bulk Calculator'!M23^2)))/'Bulk Calculator'!J23/'Bulk Calculator'!K23*100,D237*'Bulk Calculator'!U23*'Bulk Calculator'!O23/'Bulk Calculator'!J23/'Bulk Calculator'!K23*100),"")</f>
        <v>0</v>
      </c>
      <c r="K237">
        <f>IFERROR(G237*B237*'Bulk Calculator'!J23/SQRT('Bulk Calculator'!S23)/1000,"")</f>
        <v>22.383040454772893</v>
      </c>
      <c r="L237">
        <f>IF(OR('Bulk Calculator'!R23="",'Bulk Calculator'!S23="",G237=""),0,IF(K237&gt;='Bulk Calculator'!R23,1,0))</f>
        <v>1</v>
      </c>
      <c r="M237">
        <f>IF(AND(H237=1,I237&lt;='OS-DORAEN'!$B$6,J237&lt;='OS-DORAEN'!$B$5,L237=1),1,0)</f>
        <v>1</v>
      </c>
      <c r="N237" t="str">
        <f t="shared" si="3"/>
        <v>R/X</v>
      </c>
    </row>
    <row r="238" spans="1:14" ht="15" customHeight="1" x14ac:dyDescent="0.35">
      <c r="A238">
        <v>23</v>
      </c>
      <c r="B238">
        <v>50</v>
      </c>
      <c r="C238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Master'!$F:$F,B238),"")</f>
        <v>142</v>
      </c>
      <c r="D238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Master'!$F:$F,B238),"")</f>
        <v>0.82</v>
      </c>
      <c r="E238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Master'!$F:$F,B238),"")</f>
        <v>0.82</v>
      </c>
      <c r="F238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Master'!$F:$F,B238),"")</f>
        <v>7.8E-2</v>
      </c>
      <c r="G238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Master'!$F:$F,B238),"")</f>
        <v>143</v>
      </c>
      <c r="H238">
        <f>IF(AND(ISNUMBER(C238),C238&gt;='Bulk Calculator'!U23/('Bulk Calculator'!J23*'Bulk Calculator'!L23)),1,0)</f>
        <v>1</v>
      </c>
      <c r="I238">
        <f>IFERROR(IF(AND(ISNUMBER(E238),ISNUMBER(F238),E238&gt;0,F238&gt;0),SQRT(3)*'Bulk Calculator'!O23*'Bulk Calculator'!AA23*((E238*'Bulk Calculator'!Q23)+(F238*SQRT(1-'Bulk Calculator'!Q23^2)))/'Bulk Calculator'!J23/'Bulk Calculator'!K23*100,D238*'Bulk Calculator'!AA23*'Bulk Calculator'!O23/'Bulk Calculator'!J23/'Bulk Calculator'!K23*100),"")</f>
        <v>0</v>
      </c>
      <c r="J238">
        <f>IFERROR(IF(AND(ISNUMBER(E238),ISNUMBER(F238),E238&gt;0,F238&gt;0),SQRT(3)*'Bulk Calculator'!O23*'Bulk Calculator'!U23*((E238*'Bulk Calculator'!M23)+(F238*SQRT(1-'Bulk Calculator'!M23^2)))/'Bulk Calculator'!J23/'Bulk Calculator'!K23*100,D238*'Bulk Calculator'!U23*'Bulk Calculator'!O23/'Bulk Calculator'!J23/'Bulk Calculator'!K23*100),"")</f>
        <v>0</v>
      </c>
      <c r="K238">
        <f>IFERROR(G238*B238*'Bulk Calculator'!J23/SQRT('Bulk Calculator'!S23)/1000,"")</f>
        <v>15.987886039123497</v>
      </c>
      <c r="L238">
        <f>IF(OR('Bulk Calculator'!R23="",'Bulk Calculator'!S23="",G238=""),0,IF(K238&gt;='Bulk Calculator'!R23,1,0))</f>
        <v>1</v>
      </c>
      <c r="M238">
        <f>IF(AND(H238=1,I238&lt;='OS-DORAEN'!$B$6,J238&lt;='OS-DORAEN'!$B$5,L238=1),1,0)</f>
        <v>1</v>
      </c>
      <c r="N238" t="str">
        <f t="shared" si="3"/>
        <v>R/X</v>
      </c>
    </row>
    <row r="239" spans="1:14" ht="15" customHeight="1" x14ac:dyDescent="0.35">
      <c r="A239">
        <v>23</v>
      </c>
      <c r="B239">
        <v>35</v>
      </c>
      <c r="C239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Master'!$F:$F,B239),"")</f>
        <v>117</v>
      </c>
      <c r="D239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Master'!$F:$F,B239),"")</f>
        <v>1.1100000000000001</v>
      </c>
      <c r="E239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Master'!$F:$F,B239),"")</f>
        <v>1.1100000000000001</v>
      </c>
      <c r="F239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Master'!$F:$F,B239),"")</f>
        <v>0.08</v>
      </c>
      <c r="G239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Master'!$F:$F,B239),"")</f>
        <v>143</v>
      </c>
      <c r="H239">
        <f>IF(AND(ISNUMBER(C239),C239&gt;='Bulk Calculator'!U23/('Bulk Calculator'!J23*'Bulk Calculator'!L23)),1,0)</f>
        <v>1</v>
      </c>
      <c r="I239">
        <f>IFERROR(IF(AND(ISNUMBER(E239),ISNUMBER(F239),E239&gt;0,F239&gt;0),SQRT(3)*'Bulk Calculator'!O23*'Bulk Calculator'!AA23*((E239*'Bulk Calculator'!Q23)+(F239*SQRT(1-'Bulk Calculator'!Q23^2)))/'Bulk Calculator'!J23/'Bulk Calculator'!K23*100,D239*'Bulk Calculator'!AA23*'Bulk Calculator'!O23/'Bulk Calculator'!J23/'Bulk Calculator'!K23*100),"")</f>
        <v>0</v>
      </c>
      <c r="J239">
        <f>IFERROR(IF(AND(ISNUMBER(E239),ISNUMBER(F239),E239&gt;0,F239&gt;0),SQRT(3)*'Bulk Calculator'!O23*'Bulk Calculator'!U23*((E239*'Bulk Calculator'!M23)+(F239*SQRT(1-'Bulk Calculator'!M23^2)))/'Bulk Calculator'!J23/'Bulk Calculator'!K23*100,D239*'Bulk Calculator'!U23*'Bulk Calculator'!O23/'Bulk Calculator'!J23/'Bulk Calculator'!K23*100),"")</f>
        <v>0</v>
      </c>
      <c r="K239">
        <f>IFERROR(G239*B239*'Bulk Calculator'!J23/SQRT('Bulk Calculator'!S23)/1000,"")</f>
        <v>11.191520227386446</v>
      </c>
      <c r="L239">
        <f>IF(OR('Bulk Calculator'!R23="",'Bulk Calculator'!S23="",G239=""),0,IF(K239&gt;='Bulk Calculator'!R23,1,0))</f>
        <v>1</v>
      </c>
      <c r="M239">
        <f>IF(AND(H239=1,I239&lt;='OS-DORAEN'!$B$6,J239&lt;='OS-DORAEN'!$B$5,L239=1),1,0)</f>
        <v>1</v>
      </c>
      <c r="N239" t="str">
        <f t="shared" si="3"/>
        <v>R/X</v>
      </c>
    </row>
    <row r="240" spans="1:14" ht="15" customHeight="1" x14ac:dyDescent="0.35">
      <c r="A240">
        <v>23</v>
      </c>
      <c r="B240">
        <v>25</v>
      </c>
      <c r="C240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Master'!$F:$F,B240),"")</f>
        <v>96</v>
      </c>
      <c r="D240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Master'!$F:$F,B240),"")</f>
        <v>1.54</v>
      </c>
      <c r="E240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Master'!$F:$F,B240),"")</f>
        <v>1.54</v>
      </c>
      <c r="F240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Master'!$F:$F,B240),"")</f>
        <v>0.08</v>
      </c>
      <c r="G240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Master'!$F:$F,B240),"")</f>
        <v>143</v>
      </c>
      <c r="H240">
        <f>IF(AND(ISNUMBER(C240),C240&gt;='Bulk Calculator'!U23/('Bulk Calculator'!J23*'Bulk Calculator'!L23)),1,0)</f>
        <v>1</v>
      </c>
      <c r="I240">
        <f>IFERROR(IF(AND(ISNUMBER(E240),ISNUMBER(F240),E240&gt;0,F240&gt;0),SQRT(3)*'Bulk Calculator'!O23*'Bulk Calculator'!AA23*((E240*'Bulk Calculator'!Q23)+(F240*SQRT(1-'Bulk Calculator'!Q23^2)))/'Bulk Calculator'!J23/'Bulk Calculator'!K23*100,D240*'Bulk Calculator'!AA23*'Bulk Calculator'!O23/'Bulk Calculator'!J23/'Bulk Calculator'!K23*100),"")</f>
        <v>0</v>
      </c>
      <c r="J240">
        <f>IFERROR(IF(AND(ISNUMBER(E240),ISNUMBER(F240),E240&gt;0,F240&gt;0),SQRT(3)*'Bulk Calculator'!O23*'Bulk Calculator'!U23*((E240*'Bulk Calculator'!M23)+(F240*SQRT(1-'Bulk Calculator'!M23^2)))/'Bulk Calculator'!J23/'Bulk Calculator'!K23*100,D240*'Bulk Calculator'!U23*'Bulk Calculator'!O23/'Bulk Calculator'!J23/'Bulk Calculator'!K23*100),"")</f>
        <v>0</v>
      </c>
      <c r="K240">
        <f>IFERROR(G240*B240*'Bulk Calculator'!J23/SQRT('Bulk Calculator'!S23)/1000,"")</f>
        <v>7.9939430195617485</v>
      </c>
      <c r="L240">
        <f>IF(OR('Bulk Calculator'!R23="",'Bulk Calculator'!S23="",G240=""),0,IF(K240&gt;='Bulk Calculator'!R23,1,0))</f>
        <v>1</v>
      </c>
      <c r="M240">
        <f>IF(AND(H240=1,I240&lt;='OS-DORAEN'!$B$6,J240&lt;='OS-DORAEN'!$B$5,L240=1),1,0)</f>
        <v>1</v>
      </c>
      <c r="N240" t="str">
        <f t="shared" si="3"/>
        <v>R/X</v>
      </c>
    </row>
    <row r="241" spans="1:14" ht="15" customHeight="1" x14ac:dyDescent="0.35">
      <c r="A241">
        <v>23</v>
      </c>
      <c r="B241">
        <v>16</v>
      </c>
      <c r="C241">
        <f>IFERROR(SUMIFS('Cable Data Master'!$G:$G,'Cable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Master'!$F:$F,B241),"")</f>
        <v>0</v>
      </c>
      <c r="D241">
        <f>IFERROR(SUMIFS('Cable Data Master'!$K:$K,'Cable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Master'!$F:$F,B241),"")</f>
        <v>0</v>
      </c>
      <c r="E241">
        <f>IFERROR(SUMIFS('Cable Data Master'!$H:$H,'Cable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Master'!$F:$F,B241),"")</f>
        <v>0</v>
      </c>
      <c r="F241">
        <f>IFERROR(SUMIFS('Cable Data Master'!$I:$I,'Cable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Master'!$F:$F,B241),"")</f>
        <v>0</v>
      </c>
      <c r="G241">
        <f>IFERROR(SUMIFS('Cable Data Master'!$J:$J,'Cable Data Master'!$A:$A,'Bulk Calculator'!$BF23,'Cable Data Master'!$B:$B,'Bulk Calculator'!$BG23,'Cable Data Master'!$C:$C,'Bulk Calculator'!$BH23,'Cable Data Master'!$D:$D,'Bulk Calculator'!$BI23,'Cable Data Master'!$E:$E,'Bulk Calculator'!$BJ23,'Cable Data Master'!$F:$F,B241),"")</f>
        <v>0</v>
      </c>
      <c r="H241">
        <f>IF(AND(ISNUMBER(C241),C241&gt;='Bulk Calculator'!U23/('Bulk Calculator'!J23*'Bulk Calculator'!L23)),1,0)</f>
        <v>1</v>
      </c>
      <c r="I241">
        <f>IFERROR(IF(AND(ISNUMBER(E241),ISNUMBER(F241),E241&gt;0,F241&gt;0),SQRT(3)*'Bulk Calculator'!O23*'Bulk Calculator'!AA23*((E241*'Bulk Calculator'!Q23)+(F241*SQRT(1-'Bulk Calculator'!Q23^2)))/'Bulk Calculator'!J23/'Bulk Calculator'!K23*100,D241*'Bulk Calculator'!AA23*'Bulk Calculator'!O23/'Bulk Calculator'!J23/'Bulk Calculator'!K23*100),"")</f>
        <v>0</v>
      </c>
      <c r="J241">
        <f>IFERROR(IF(AND(ISNUMBER(E241),ISNUMBER(F241),E241&gt;0,F241&gt;0),SQRT(3)*'Bulk Calculator'!O23*'Bulk Calculator'!U23*((E241*'Bulk Calculator'!M23)+(F241*SQRT(1-'Bulk Calculator'!M23^2)))/'Bulk Calculator'!J23/'Bulk Calculator'!K23*100,D241*'Bulk Calculator'!U23*'Bulk Calculator'!O23/'Bulk Calculator'!J23/'Bulk Calculator'!K23*100),"")</f>
        <v>0</v>
      </c>
      <c r="K241">
        <f>IFERROR(G241*B241*'Bulk Calculator'!J23/SQRT('Bulk Calculator'!S23)/1000,"")</f>
        <v>0</v>
      </c>
      <c r="L241">
        <f>IF(OR('Bulk Calculator'!R23="",'Bulk Calculator'!S23="",G241=""),0,IF(K241&gt;='Bulk Calculator'!R23,1,0))</f>
        <v>1</v>
      </c>
      <c r="M241">
        <f>IF(AND(H241=1,I241&lt;='OS-DORAEN'!$B$6,J241&lt;='OS-DORAEN'!$B$5,L241=1),1,0)</f>
        <v>1</v>
      </c>
      <c r="N241" t="str">
        <f t="shared" si="3"/>
        <v>Manufacturer VD Ref</v>
      </c>
    </row>
    <row r="242" spans="1:14" ht="15" customHeight="1" x14ac:dyDescent="0.35">
      <c r="A242">
        <v>24</v>
      </c>
      <c r="B242">
        <v>400</v>
      </c>
      <c r="C242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Master'!$F:$F,B242),"")</f>
        <v>530</v>
      </c>
      <c r="D242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Master'!$F:$F,B242),"")</f>
        <v>0.1023</v>
      </c>
      <c r="E242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Master'!$F:$F,B242),"")</f>
        <v>0.1023</v>
      </c>
      <c r="F242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Master'!$F:$F,B242),"")</f>
        <v>7.0000000000000007E-2</v>
      </c>
      <c r="G242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Master'!$F:$F,B242),"")</f>
        <v>143</v>
      </c>
      <c r="H242">
        <f>IF(AND(ISNUMBER(C242),C242&gt;='Bulk Calculator'!U24/('Bulk Calculator'!J24*'Bulk Calculator'!L24)),1,0)</f>
        <v>1</v>
      </c>
      <c r="I242">
        <f>IFERROR(IF(AND(ISNUMBER(E242),ISNUMBER(F242),E242&gt;0,F242&gt;0),SQRT(3)*'Bulk Calculator'!O24*'Bulk Calculator'!AA24*((E242*'Bulk Calculator'!Q24)+(F242*SQRT(1-'Bulk Calculator'!Q24^2)))/'Bulk Calculator'!J24/'Bulk Calculator'!K24*100,D242*'Bulk Calculator'!AA24*'Bulk Calculator'!O24/'Bulk Calculator'!J24/'Bulk Calculator'!K24*100),"")</f>
        <v>0</v>
      </c>
      <c r="J242">
        <f>IFERROR(IF(AND(ISNUMBER(E242),ISNUMBER(F242),E242&gt;0,F242&gt;0),SQRT(3)*'Bulk Calculator'!O24*'Bulk Calculator'!U24*((E242*'Bulk Calculator'!M24)+(F242*SQRT(1-'Bulk Calculator'!M24^2)))/'Bulk Calculator'!J24/'Bulk Calculator'!K24*100,D242*'Bulk Calculator'!U24*'Bulk Calculator'!O24/'Bulk Calculator'!J24/'Bulk Calculator'!K24*100),"")</f>
        <v>0</v>
      </c>
      <c r="K242">
        <f>IFERROR(G242*B242*'Bulk Calculator'!J24/SQRT('Bulk Calculator'!S24)/1000,"")</f>
        <v>127.90308831298798</v>
      </c>
      <c r="L242">
        <f>IF(OR('Bulk Calculator'!R24="",'Bulk Calculator'!S24="",G242=""),0,IF(K242&gt;='Bulk Calculator'!R24,1,0))</f>
        <v>1</v>
      </c>
      <c r="M242">
        <f>IF(AND(H242=1,I242&lt;='OS-DORAEN'!$B$6,J242&lt;='OS-DORAEN'!$B$5,L242=1),1,0)</f>
        <v>1</v>
      </c>
      <c r="N242" t="str">
        <f t="shared" si="3"/>
        <v>R/X</v>
      </c>
    </row>
    <row r="243" spans="1:14" ht="15" customHeight="1" x14ac:dyDescent="0.35">
      <c r="A243">
        <v>24</v>
      </c>
      <c r="B243">
        <v>300</v>
      </c>
      <c r="C243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Master'!$F:$F,B243),"")</f>
        <v>455</v>
      </c>
      <c r="D243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Master'!$F:$F,B243),"")</f>
        <v>0.13</v>
      </c>
      <c r="E243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Master'!$F:$F,B243),"")</f>
        <v>0.13</v>
      </c>
      <c r="F243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Master'!$F:$F,B243),"")</f>
        <v>7.0999999999999994E-2</v>
      </c>
      <c r="G243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Master'!$F:$F,B243),"")</f>
        <v>143</v>
      </c>
      <c r="H243">
        <f>IF(AND(ISNUMBER(C243),C243&gt;='Bulk Calculator'!U24/('Bulk Calculator'!J24*'Bulk Calculator'!L24)),1,0)</f>
        <v>1</v>
      </c>
      <c r="I243">
        <f>IFERROR(IF(AND(ISNUMBER(E243),ISNUMBER(F243),E243&gt;0,F243&gt;0),SQRT(3)*'Bulk Calculator'!O24*'Bulk Calculator'!AA24*((E243*'Bulk Calculator'!Q24)+(F243*SQRT(1-'Bulk Calculator'!Q24^2)))/'Bulk Calculator'!J24/'Bulk Calculator'!K24*100,D243*'Bulk Calculator'!AA24*'Bulk Calculator'!O24/'Bulk Calculator'!J24/'Bulk Calculator'!K24*100),"")</f>
        <v>0</v>
      </c>
      <c r="J243">
        <f>IFERROR(IF(AND(ISNUMBER(E243),ISNUMBER(F243),E243&gt;0,F243&gt;0),SQRT(3)*'Bulk Calculator'!O24*'Bulk Calculator'!U24*((E243*'Bulk Calculator'!M24)+(F243*SQRT(1-'Bulk Calculator'!M24^2)))/'Bulk Calculator'!J24/'Bulk Calculator'!K24*100,D243*'Bulk Calculator'!U24*'Bulk Calculator'!O24/'Bulk Calculator'!J24/'Bulk Calculator'!K24*100),"")</f>
        <v>0</v>
      </c>
      <c r="K243">
        <f>IFERROR(G243*B243*'Bulk Calculator'!J24/SQRT('Bulk Calculator'!S24)/1000,"")</f>
        <v>95.927316234740985</v>
      </c>
      <c r="L243">
        <f>IF(OR('Bulk Calculator'!R24="",'Bulk Calculator'!S24="",G243=""),0,IF(K243&gt;='Bulk Calculator'!R24,1,0))</f>
        <v>1</v>
      </c>
      <c r="M243">
        <f>IF(AND(H243=1,I243&lt;='OS-DORAEN'!$B$6,J243&lt;='OS-DORAEN'!$B$5,L243=1),1,0)</f>
        <v>1</v>
      </c>
      <c r="N243" t="str">
        <f t="shared" si="3"/>
        <v>R/X</v>
      </c>
    </row>
    <row r="244" spans="1:14" ht="15" customHeight="1" x14ac:dyDescent="0.35">
      <c r="A244">
        <v>24</v>
      </c>
      <c r="B244">
        <v>240</v>
      </c>
      <c r="C244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Master'!$F:$F,B244),"")</f>
        <v>399</v>
      </c>
      <c r="D244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Master'!$F:$F,B244),"")</f>
        <v>0.16200000000000001</v>
      </c>
      <c r="E244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Master'!$F:$F,B244),"")</f>
        <v>0.16200000000000001</v>
      </c>
      <c r="F244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Master'!$F:$F,B244),"")</f>
        <v>7.1999999999999995E-2</v>
      </c>
      <c r="G244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Master'!$F:$F,B244),"")</f>
        <v>143</v>
      </c>
      <c r="H244">
        <f>IF(AND(ISNUMBER(C244),C244&gt;='Bulk Calculator'!U24/('Bulk Calculator'!J24*'Bulk Calculator'!L24)),1,0)</f>
        <v>1</v>
      </c>
      <c r="I244">
        <f>IFERROR(IF(AND(ISNUMBER(E244),ISNUMBER(F244),E244&gt;0,F244&gt;0),SQRT(3)*'Bulk Calculator'!O24*'Bulk Calculator'!AA24*((E244*'Bulk Calculator'!Q24)+(F244*SQRT(1-'Bulk Calculator'!Q24^2)))/'Bulk Calculator'!J24/'Bulk Calculator'!K24*100,D244*'Bulk Calculator'!AA24*'Bulk Calculator'!O24/'Bulk Calculator'!J24/'Bulk Calculator'!K24*100),"")</f>
        <v>0</v>
      </c>
      <c r="J244">
        <f>IFERROR(IF(AND(ISNUMBER(E244),ISNUMBER(F244),E244&gt;0,F244&gt;0),SQRT(3)*'Bulk Calculator'!O24*'Bulk Calculator'!U24*((E244*'Bulk Calculator'!M24)+(F244*SQRT(1-'Bulk Calculator'!M24^2)))/'Bulk Calculator'!J24/'Bulk Calculator'!K24*100,D244*'Bulk Calculator'!U24*'Bulk Calculator'!O24/'Bulk Calculator'!J24/'Bulk Calculator'!K24*100),"")</f>
        <v>0</v>
      </c>
      <c r="K244">
        <f>IFERROR(G244*B244*'Bulk Calculator'!J24/SQRT('Bulk Calculator'!S24)/1000,"")</f>
        <v>76.741852987792782</v>
      </c>
      <c r="L244">
        <f>IF(OR('Bulk Calculator'!R24="",'Bulk Calculator'!S24="",G244=""),0,IF(K244&gt;='Bulk Calculator'!R24,1,0))</f>
        <v>1</v>
      </c>
      <c r="M244">
        <f>IF(AND(H244=1,I244&lt;='OS-DORAEN'!$B$6,J244&lt;='OS-DORAEN'!$B$5,L244=1),1,0)</f>
        <v>1</v>
      </c>
      <c r="N244" t="str">
        <f t="shared" si="3"/>
        <v>R/X</v>
      </c>
    </row>
    <row r="245" spans="1:14" ht="15" customHeight="1" x14ac:dyDescent="0.35">
      <c r="A245">
        <v>24</v>
      </c>
      <c r="B245">
        <v>185</v>
      </c>
      <c r="C245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Master'!$F:$F,B245),"")</f>
        <v>337</v>
      </c>
      <c r="D245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Master'!$F:$F,B245),"")</f>
        <v>0.21099999999999999</v>
      </c>
      <c r="E245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Master'!$F:$F,B245),"")</f>
        <v>0.21099999999999999</v>
      </c>
      <c r="F245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Master'!$F:$F,B245),"")</f>
        <v>7.1999999999999995E-2</v>
      </c>
      <c r="G245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Master'!$F:$F,B245),"")</f>
        <v>143</v>
      </c>
      <c r="H245">
        <f>IF(AND(ISNUMBER(C245),C245&gt;='Bulk Calculator'!U24/('Bulk Calculator'!J24*'Bulk Calculator'!L24)),1,0)</f>
        <v>1</v>
      </c>
      <c r="I245">
        <f>IFERROR(IF(AND(ISNUMBER(E245),ISNUMBER(F245),E245&gt;0,F245&gt;0),SQRT(3)*'Bulk Calculator'!O24*'Bulk Calculator'!AA24*((E245*'Bulk Calculator'!Q24)+(F245*SQRT(1-'Bulk Calculator'!Q24^2)))/'Bulk Calculator'!J24/'Bulk Calculator'!K24*100,D245*'Bulk Calculator'!AA24*'Bulk Calculator'!O24/'Bulk Calculator'!J24/'Bulk Calculator'!K24*100),"")</f>
        <v>0</v>
      </c>
      <c r="J245">
        <f>IFERROR(IF(AND(ISNUMBER(E245),ISNUMBER(F245),E245&gt;0,F245&gt;0),SQRT(3)*'Bulk Calculator'!O24*'Bulk Calculator'!U24*((E245*'Bulk Calculator'!M24)+(F245*SQRT(1-'Bulk Calculator'!M24^2)))/'Bulk Calculator'!J24/'Bulk Calculator'!K24*100,D245*'Bulk Calculator'!U24*'Bulk Calculator'!O24/'Bulk Calculator'!J24/'Bulk Calculator'!K24*100),"")</f>
        <v>0</v>
      </c>
      <c r="K245">
        <f>IFERROR(G245*B245*'Bulk Calculator'!J24/SQRT('Bulk Calculator'!S24)/1000,"")</f>
        <v>59.155178344756941</v>
      </c>
      <c r="L245">
        <f>IF(OR('Bulk Calculator'!R24="",'Bulk Calculator'!S24="",G245=""),0,IF(K245&gt;='Bulk Calculator'!R24,1,0))</f>
        <v>1</v>
      </c>
      <c r="M245">
        <f>IF(AND(H245=1,I245&lt;='OS-DORAEN'!$B$6,J245&lt;='OS-DORAEN'!$B$5,L245=1),1,0)</f>
        <v>1</v>
      </c>
      <c r="N245" t="str">
        <f t="shared" si="3"/>
        <v>R/X</v>
      </c>
    </row>
    <row r="246" spans="1:14" ht="15" customHeight="1" x14ac:dyDescent="0.35">
      <c r="A246">
        <v>24</v>
      </c>
      <c r="B246">
        <v>150</v>
      </c>
      <c r="C246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Master'!$F:$F,B246),"")</f>
        <v>292</v>
      </c>
      <c r="D246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Master'!$F:$F,B246),"")</f>
        <v>0.26500000000000001</v>
      </c>
      <c r="E246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Master'!$F:$F,B246),"")</f>
        <v>0.26500000000000001</v>
      </c>
      <c r="F246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Master'!$F:$F,B246),"")</f>
        <v>7.1999999999999995E-2</v>
      </c>
      <c r="G246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Master'!$F:$F,B246),"")</f>
        <v>143</v>
      </c>
      <c r="H246">
        <f>IF(AND(ISNUMBER(C246),C246&gt;='Bulk Calculator'!U24/('Bulk Calculator'!J24*'Bulk Calculator'!L24)),1,0)</f>
        <v>1</v>
      </c>
      <c r="I246">
        <f>IFERROR(IF(AND(ISNUMBER(E246),ISNUMBER(F246),E246&gt;0,F246&gt;0),SQRT(3)*'Bulk Calculator'!O24*'Bulk Calculator'!AA24*((E246*'Bulk Calculator'!Q24)+(F246*SQRT(1-'Bulk Calculator'!Q24^2)))/'Bulk Calculator'!J24/'Bulk Calculator'!K24*100,D246*'Bulk Calculator'!AA24*'Bulk Calculator'!O24/'Bulk Calculator'!J24/'Bulk Calculator'!K24*100),"")</f>
        <v>0</v>
      </c>
      <c r="J246">
        <f>IFERROR(IF(AND(ISNUMBER(E246),ISNUMBER(F246),E246&gt;0,F246&gt;0),SQRT(3)*'Bulk Calculator'!O24*'Bulk Calculator'!U24*((E246*'Bulk Calculator'!M24)+(F246*SQRT(1-'Bulk Calculator'!M24^2)))/'Bulk Calculator'!J24/'Bulk Calculator'!K24*100,D246*'Bulk Calculator'!U24*'Bulk Calculator'!O24/'Bulk Calculator'!J24/'Bulk Calculator'!K24*100),"")</f>
        <v>0</v>
      </c>
      <c r="K246">
        <f>IFERROR(G246*B246*'Bulk Calculator'!J24/SQRT('Bulk Calculator'!S24)/1000,"")</f>
        <v>47.963658117370493</v>
      </c>
      <c r="L246">
        <f>IF(OR('Bulk Calculator'!R24="",'Bulk Calculator'!S24="",G246=""),0,IF(K246&gt;='Bulk Calculator'!R24,1,0))</f>
        <v>1</v>
      </c>
      <c r="M246">
        <f>IF(AND(H246=1,I246&lt;='OS-DORAEN'!$B$6,J246&lt;='OS-DORAEN'!$B$5,L246=1),1,0)</f>
        <v>1</v>
      </c>
      <c r="N246" t="str">
        <f t="shared" si="3"/>
        <v>R/X</v>
      </c>
    </row>
    <row r="247" spans="1:14" ht="15" customHeight="1" x14ac:dyDescent="0.35">
      <c r="A247">
        <v>24</v>
      </c>
      <c r="B247">
        <v>120</v>
      </c>
      <c r="C247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Master'!$F:$F,B247),"")</f>
        <v>257</v>
      </c>
      <c r="D247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Master'!$F:$F,B247),"")</f>
        <v>0.32500000000000001</v>
      </c>
      <c r="E247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Master'!$F:$F,B247),"")</f>
        <v>0.32500000000000001</v>
      </c>
      <c r="F247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Master'!$F:$F,B247),"")</f>
        <v>7.1999999999999995E-2</v>
      </c>
      <c r="G247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Master'!$F:$F,B247),"")</f>
        <v>143</v>
      </c>
      <c r="H247">
        <f>IF(AND(ISNUMBER(C247),C247&gt;='Bulk Calculator'!U24/('Bulk Calculator'!J24*'Bulk Calculator'!L24)),1,0)</f>
        <v>1</v>
      </c>
      <c r="I247">
        <f>IFERROR(IF(AND(ISNUMBER(E247),ISNUMBER(F247),E247&gt;0,F247&gt;0),SQRT(3)*'Bulk Calculator'!O24*'Bulk Calculator'!AA24*((E247*'Bulk Calculator'!Q24)+(F247*SQRT(1-'Bulk Calculator'!Q24^2)))/'Bulk Calculator'!J24/'Bulk Calculator'!K24*100,D247*'Bulk Calculator'!AA24*'Bulk Calculator'!O24/'Bulk Calculator'!J24/'Bulk Calculator'!K24*100),"")</f>
        <v>0</v>
      </c>
      <c r="J247">
        <f>IFERROR(IF(AND(ISNUMBER(E247),ISNUMBER(F247),E247&gt;0,F247&gt;0),SQRT(3)*'Bulk Calculator'!O24*'Bulk Calculator'!U24*((E247*'Bulk Calculator'!M24)+(F247*SQRT(1-'Bulk Calculator'!M24^2)))/'Bulk Calculator'!J24/'Bulk Calculator'!K24*100,D247*'Bulk Calculator'!U24*'Bulk Calculator'!O24/'Bulk Calculator'!J24/'Bulk Calculator'!K24*100),"")</f>
        <v>0</v>
      </c>
      <c r="K247">
        <f>IFERROR(G247*B247*'Bulk Calculator'!J24/SQRT('Bulk Calculator'!S24)/1000,"")</f>
        <v>38.370926493896391</v>
      </c>
      <c r="L247">
        <f>IF(OR('Bulk Calculator'!R24="",'Bulk Calculator'!S24="",G247=""),0,IF(K247&gt;='Bulk Calculator'!R24,1,0))</f>
        <v>1</v>
      </c>
      <c r="M247">
        <f>IF(AND(H247=1,I247&lt;='OS-DORAEN'!$B$6,J247&lt;='OS-DORAEN'!$B$5,L247=1),1,0)</f>
        <v>1</v>
      </c>
      <c r="N247" t="str">
        <f t="shared" si="3"/>
        <v>R/X</v>
      </c>
    </row>
    <row r="248" spans="1:14" ht="15" customHeight="1" x14ac:dyDescent="0.35">
      <c r="A248">
        <v>24</v>
      </c>
      <c r="B248">
        <v>95</v>
      </c>
      <c r="C248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Master'!$F:$F,B248),"")</f>
        <v>221</v>
      </c>
      <c r="D248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Master'!$F:$F,B248),"")</f>
        <v>0.41</v>
      </c>
      <c r="E248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Master'!$F:$F,B248),"")</f>
        <v>0.41</v>
      </c>
      <c r="F248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Master'!$F:$F,B248),"")</f>
        <v>7.3999999999999996E-2</v>
      </c>
      <c r="G248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Master'!$F:$F,B248),"")</f>
        <v>143</v>
      </c>
      <c r="H248">
        <f>IF(AND(ISNUMBER(C248),C248&gt;='Bulk Calculator'!U24/('Bulk Calculator'!J24*'Bulk Calculator'!L24)),1,0)</f>
        <v>1</v>
      </c>
      <c r="I248">
        <f>IFERROR(IF(AND(ISNUMBER(E248),ISNUMBER(F248),E248&gt;0,F248&gt;0),SQRT(3)*'Bulk Calculator'!O24*'Bulk Calculator'!AA24*((E248*'Bulk Calculator'!Q24)+(F248*SQRT(1-'Bulk Calculator'!Q24^2)))/'Bulk Calculator'!J24/'Bulk Calculator'!K24*100,D248*'Bulk Calculator'!AA24*'Bulk Calculator'!O24/'Bulk Calculator'!J24/'Bulk Calculator'!K24*100),"")</f>
        <v>0</v>
      </c>
      <c r="J248">
        <f>IFERROR(IF(AND(ISNUMBER(E248),ISNUMBER(F248),E248&gt;0,F248&gt;0),SQRT(3)*'Bulk Calculator'!O24*'Bulk Calculator'!U24*((E248*'Bulk Calculator'!M24)+(F248*SQRT(1-'Bulk Calculator'!M24^2)))/'Bulk Calculator'!J24/'Bulk Calculator'!K24*100,D248*'Bulk Calculator'!U24*'Bulk Calculator'!O24/'Bulk Calculator'!J24/'Bulk Calculator'!K24*100),"")</f>
        <v>0</v>
      </c>
      <c r="K248">
        <f>IFERROR(G248*B248*'Bulk Calculator'!J24/SQRT('Bulk Calculator'!S24)/1000,"")</f>
        <v>30.376983474334644</v>
      </c>
      <c r="L248">
        <f>IF(OR('Bulk Calculator'!R24="",'Bulk Calculator'!S24="",G248=""),0,IF(K248&gt;='Bulk Calculator'!R24,1,0))</f>
        <v>1</v>
      </c>
      <c r="M248">
        <f>IF(AND(H248=1,I248&lt;='OS-DORAEN'!$B$6,J248&lt;='OS-DORAEN'!$B$5,L248=1),1,0)</f>
        <v>1</v>
      </c>
      <c r="N248" t="str">
        <f t="shared" si="3"/>
        <v>R/X</v>
      </c>
    </row>
    <row r="249" spans="1:14" ht="15" customHeight="1" x14ac:dyDescent="0.35">
      <c r="A249">
        <v>24</v>
      </c>
      <c r="B249">
        <v>70</v>
      </c>
      <c r="C249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Master'!$F:$F,B249),"")</f>
        <v>179</v>
      </c>
      <c r="D249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Master'!$F:$F,B249),"")</f>
        <v>0.56699999999999995</v>
      </c>
      <c r="E249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Master'!$F:$F,B249),"")</f>
        <v>0.56699999999999995</v>
      </c>
      <c r="F249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Master'!$F:$F,B249),"")</f>
        <v>7.6999999999999999E-2</v>
      </c>
      <c r="G249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Master'!$F:$F,B249),"")</f>
        <v>143</v>
      </c>
      <c r="H249">
        <f>IF(AND(ISNUMBER(C249),C249&gt;='Bulk Calculator'!U24/('Bulk Calculator'!J24*'Bulk Calculator'!L24)),1,0)</f>
        <v>1</v>
      </c>
      <c r="I249">
        <f>IFERROR(IF(AND(ISNUMBER(E249),ISNUMBER(F249),E249&gt;0,F249&gt;0),SQRT(3)*'Bulk Calculator'!O24*'Bulk Calculator'!AA24*((E249*'Bulk Calculator'!Q24)+(F249*SQRT(1-'Bulk Calculator'!Q24^2)))/'Bulk Calculator'!J24/'Bulk Calculator'!K24*100,D249*'Bulk Calculator'!AA24*'Bulk Calculator'!O24/'Bulk Calculator'!J24/'Bulk Calculator'!K24*100),"")</f>
        <v>0</v>
      </c>
      <c r="J249">
        <f>IFERROR(IF(AND(ISNUMBER(E249),ISNUMBER(F249),E249&gt;0,F249&gt;0),SQRT(3)*'Bulk Calculator'!O24*'Bulk Calculator'!U24*((E249*'Bulk Calculator'!M24)+(F249*SQRT(1-'Bulk Calculator'!M24^2)))/'Bulk Calculator'!J24/'Bulk Calculator'!K24*100,D249*'Bulk Calculator'!U24*'Bulk Calculator'!O24/'Bulk Calculator'!J24/'Bulk Calculator'!K24*100),"")</f>
        <v>0</v>
      </c>
      <c r="K249">
        <f>IFERROR(G249*B249*'Bulk Calculator'!J24/SQRT('Bulk Calculator'!S24)/1000,"")</f>
        <v>22.383040454772893</v>
      </c>
      <c r="L249">
        <f>IF(OR('Bulk Calculator'!R24="",'Bulk Calculator'!S24="",G249=""),0,IF(K249&gt;='Bulk Calculator'!R24,1,0))</f>
        <v>1</v>
      </c>
      <c r="M249">
        <f>IF(AND(H249=1,I249&lt;='OS-DORAEN'!$B$6,J249&lt;='OS-DORAEN'!$B$5,L249=1),1,0)</f>
        <v>1</v>
      </c>
      <c r="N249" t="str">
        <f t="shared" si="3"/>
        <v>R/X</v>
      </c>
    </row>
    <row r="250" spans="1:14" ht="15" customHeight="1" x14ac:dyDescent="0.35">
      <c r="A250">
        <v>24</v>
      </c>
      <c r="B250">
        <v>50</v>
      </c>
      <c r="C250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Master'!$F:$F,B250),"")</f>
        <v>142</v>
      </c>
      <c r="D250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Master'!$F:$F,B250),"")</f>
        <v>0.82</v>
      </c>
      <c r="E250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Master'!$F:$F,B250),"")</f>
        <v>0.82</v>
      </c>
      <c r="F250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Master'!$F:$F,B250),"")</f>
        <v>7.8E-2</v>
      </c>
      <c r="G250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Master'!$F:$F,B250),"")</f>
        <v>143</v>
      </c>
      <c r="H250">
        <f>IF(AND(ISNUMBER(C250),C250&gt;='Bulk Calculator'!U24/('Bulk Calculator'!J24*'Bulk Calculator'!L24)),1,0)</f>
        <v>1</v>
      </c>
      <c r="I250">
        <f>IFERROR(IF(AND(ISNUMBER(E250),ISNUMBER(F250),E250&gt;0,F250&gt;0),SQRT(3)*'Bulk Calculator'!O24*'Bulk Calculator'!AA24*((E250*'Bulk Calculator'!Q24)+(F250*SQRT(1-'Bulk Calculator'!Q24^2)))/'Bulk Calculator'!J24/'Bulk Calculator'!K24*100,D250*'Bulk Calculator'!AA24*'Bulk Calculator'!O24/'Bulk Calculator'!J24/'Bulk Calculator'!K24*100),"")</f>
        <v>0</v>
      </c>
      <c r="J250">
        <f>IFERROR(IF(AND(ISNUMBER(E250),ISNUMBER(F250),E250&gt;0,F250&gt;0),SQRT(3)*'Bulk Calculator'!O24*'Bulk Calculator'!U24*((E250*'Bulk Calculator'!M24)+(F250*SQRT(1-'Bulk Calculator'!M24^2)))/'Bulk Calculator'!J24/'Bulk Calculator'!K24*100,D250*'Bulk Calculator'!U24*'Bulk Calculator'!O24/'Bulk Calculator'!J24/'Bulk Calculator'!K24*100),"")</f>
        <v>0</v>
      </c>
      <c r="K250">
        <f>IFERROR(G250*B250*'Bulk Calculator'!J24/SQRT('Bulk Calculator'!S24)/1000,"")</f>
        <v>15.987886039123497</v>
      </c>
      <c r="L250">
        <f>IF(OR('Bulk Calculator'!R24="",'Bulk Calculator'!S24="",G250=""),0,IF(K250&gt;='Bulk Calculator'!R24,1,0))</f>
        <v>1</v>
      </c>
      <c r="M250">
        <f>IF(AND(H250=1,I250&lt;='OS-DORAEN'!$B$6,J250&lt;='OS-DORAEN'!$B$5,L250=1),1,0)</f>
        <v>1</v>
      </c>
      <c r="N250" t="str">
        <f t="shared" si="3"/>
        <v>R/X</v>
      </c>
    </row>
    <row r="251" spans="1:14" ht="15" customHeight="1" x14ac:dyDescent="0.35">
      <c r="A251">
        <v>24</v>
      </c>
      <c r="B251">
        <v>35</v>
      </c>
      <c r="C251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Master'!$F:$F,B251),"")</f>
        <v>117</v>
      </c>
      <c r="D251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Master'!$F:$F,B251),"")</f>
        <v>1.1100000000000001</v>
      </c>
      <c r="E251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Master'!$F:$F,B251),"")</f>
        <v>1.1100000000000001</v>
      </c>
      <c r="F251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Master'!$F:$F,B251),"")</f>
        <v>0.08</v>
      </c>
      <c r="G251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Master'!$F:$F,B251),"")</f>
        <v>143</v>
      </c>
      <c r="H251">
        <f>IF(AND(ISNUMBER(C251),C251&gt;='Bulk Calculator'!U24/('Bulk Calculator'!J24*'Bulk Calculator'!L24)),1,0)</f>
        <v>1</v>
      </c>
      <c r="I251">
        <f>IFERROR(IF(AND(ISNUMBER(E251),ISNUMBER(F251),E251&gt;0,F251&gt;0),SQRT(3)*'Bulk Calculator'!O24*'Bulk Calculator'!AA24*((E251*'Bulk Calculator'!Q24)+(F251*SQRT(1-'Bulk Calculator'!Q24^2)))/'Bulk Calculator'!J24/'Bulk Calculator'!K24*100,D251*'Bulk Calculator'!AA24*'Bulk Calculator'!O24/'Bulk Calculator'!J24/'Bulk Calculator'!K24*100),"")</f>
        <v>0</v>
      </c>
      <c r="J251">
        <f>IFERROR(IF(AND(ISNUMBER(E251),ISNUMBER(F251),E251&gt;0,F251&gt;0),SQRT(3)*'Bulk Calculator'!O24*'Bulk Calculator'!U24*((E251*'Bulk Calculator'!M24)+(F251*SQRT(1-'Bulk Calculator'!M24^2)))/'Bulk Calculator'!J24/'Bulk Calculator'!K24*100,D251*'Bulk Calculator'!U24*'Bulk Calculator'!O24/'Bulk Calculator'!J24/'Bulk Calculator'!K24*100),"")</f>
        <v>0</v>
      </c>
      <c r="K251">
        <f>IFERROR(G251*B251*'Bulk Calculator'!J24/SQRT('Bulk Calculator'!S24)/1000,"")</f>
        <v>11.191520227386446</v>
      </c>
      <c r="L251">
        <f>IF(OR('Bulk Calculator'!R24="",'Bulk Calculator'!S24="",G251=""),0,IF(K251&gt;='Bulk Calculator'!R24,1,0))</f>
        <v>1</v>
      </c>
      <c r="M251">
        <f>IF(AND(H251=1,I251&lt;='OS-DORAEN'!$B$6,J251&lt;='OS-DORAEN'!$B$5,L251=1),1,0)</f>
        <v>1</v>
      </c>
      <c r="N251" t="str">
        <f t="shared" si="3"/>
        <v>R/X</v>
      </c>
    </row>
    <row r="252" spans="1:14" ht="15" customHeight="1" x14ac:dyDescent="0.35">
      <c r="A252">
        <v>24</v>
      </c>
      <c r="B252">
        <v>25</v>
      </c>
      <c r="C252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Master'!$F:$F,B252),"")</f>
        <v>96</v>
      </c>
      <c r="D252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Master'!$F:$F,B252),"")</f>
        <v>1.54</v>
      </c>
      <c r="E252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Master'!$F:$F,B252),"")</f>
        <v>1.54</v>
      </c>
      <c r="F252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Master'!$F:$F,B252),"")</f>
        <v>0.08</v>
      </c>
      <c r="G252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Master'!$F:$F,B252),"")</f>
        <v>143</v>
      </c>
      <c r="H252">
        <f>IF(AND(ISNUMBER(C252),C252&gt;='Bulk Calculator'!U24/('Bulk Calculator'!J24*'Bulk Calculator'!L24)),1,0)</f>
        <v>1</v>
      </c>
      <c r="I252">
        <f>IFERROR(IF(AND(ISNUMBER(E252),ISNUMBER(F252),E252&gt;0,F252&gt;0),SQRT(3)*'Bulk Calculator'!O24*'Bulk Calculator'!AA24*((E252*'Bulk Calculator'!Q24)+(F252*SQRT(1-'Bulk Calculator'!Q24^2)))/'Bulk Calculator'!J24/'Bulk Calculator'!K24*100,D252*'Bulk Calculator'!AA24*'Bulk Calculator'!O24/'Bulk Calculator'!J24/'Bulk Calculator'!K24*100),"")</f>
        <v>0</v>
      </c>
      <c r="J252">
        <f>IFERROR(IF(AND(ISNUMBER(E252),ISNUMBER(F252),E252&gt;0,F252&gt;0),SQRT(3)*'Bulk Calculator'!O24*'Bulk Calculator'!U24*((E252*'Bulk Calculator'!M24)+(F252*SQRT(1-'Bulk Calculator'!M24^2)))/'Bulk Calculator'!J24/'Bulk Calculator'!K24*100,D252*'Bulk Calculator'!U24*'Bulk Calculator'!O24/'Bulk Calculator'!J24/'Bulk Calculator'!K24*100),"")</f>
        <v>0</v>
      </c>
      <c r="K252">
        <f>IFERROR(G252*B252*'Bulk Calculator'!J24/SQRT('Bulk Calculator'!S24)/1000,"")</f>
        <v>7.9939430195617485</v>
      </c>
      <c r="L252">
        <f>IF(OR('Bulk Calculator'!R24="",'Bulk Calculator'!S24="",G252=""),0,IF(K252&gt;='Bulk Calculator'!R24,1,0))</f>
        <v>1</v>
      </c>
      <c r="M252">
        <f>IF(AND(H252=1,I252&lt;='OS-DORAEN'!$B$6,J252&lt;='OS-DORAEN'!$B$5,L252=1),1,0)</f>
        <v>1</v>
      </c>
      <c r="N252" t="str">
        <f t="shared" si="3"/>
        <v>R/X</v>
      </c>
    </row>
    <row r="253" spans="1:14" ht="15" customHeight="1" x14ac:dyDescent="0.35">
      <c r="A253">
        <v>24</v>
      </c>
      <c r="B253">
        <v>16</v>
      </c>
      <c r="C253">
        <f>IFERROR(SUMIFS('Cable Data Master'!$G:$G,'Cable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Master'!$F:$F,B253),"")</f>
        <v>0</v>
      </c>
      <c r="D253">
        <f>IFERROR(SUMIFS('Cable Data Master'!$K:$K,'Cable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Master'!$F:$F,B253),"")</f>
        <v>0</v>
      </c>
      <c r="E253">
        <f>IFERROR(SUMIFS('Cable Data Master'!$H:$H,'Cable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Master'!$F:$F,B253),"")</f>
        <v>0</v>
      </c>
      <c r="F253">
        <f>IFERROR(SUMIFS('Cable Data Master'!$I:$I,'Cable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Master'!$F:$F,B253),"")</f>
        <v>0</v>
      </c>
      <c r="G253">
        <f>IFERROR(SUMIFS('Cable Data Master'!$J:$J,'Cable Data Master'!$A:$A,'Bulk Calculator'!$BF24,'Cable Data Master'!$B:$B,'Bulk Calculator'!$BG24,'Cable Data Master'!$C:$C,'Bulk Calculator'!$BH24,'Cable Data Master'!$D:$D,'Bulk Calculator'!$BI24,'Cable Data Master'!$E:$E,'Bulk Calculator'!$BJ24,'Cable Data Master'!$F:$F,B253),"")</f>
        <v>0</v>
      </c>
      <c r="H253">
        <f>IF(AND(ISNUMBER(C253),C253&gt;='Bulk Calculator'!U24/('Bulk Calculator'!J24*'Bulk Calculator'!L24)),1,0)</f>
        <v>1</v>
      </c>
      <c r="I253">
        <f>IFERROR(IF(AND(ISNUMBER(E253),ISNUMBER(F253),E253&gt;0,F253&gt;0),SQRT(3)*'Bulk Calculator'!O24*'Bulk Calculator'!AA24*((E253*'Bulk Calculator'!Q24)+(F253*SQRT(1-'Bulk Calculator'!Q24^2)))/'Bulk Calculator'!J24/'Bulk Calculator'!K24*100,D253*'Bulk Calculator'!AA24*'Bulk Calculator'!O24/'Bulk Calculator'!J24/'Bulk Calculator'!K24*100),"")</f>
        <v>0</v>
      </c>
      <c r="J253">
        <f>IFERROR(IF(AND(ISNUMBER(E253),ISNUMBER(F253),E253&gt;0,F253&gt;0),SQRT(3)*'Bulk Calculator'!O24*'Bulk Calculator'!U24*((E253*'Bulk Calculator'!M24)+(F253*SQRT(1-'Bulk Calculator'!M24^2)))/'Bulk Calculator'!J24/'Bulk Calculator'!K24*100,D253*'Bulk Calculator'!U24*'Bulk Calculator'!O24/'Bulk Calculator'!J24/'Bulk Calculator'!K24*100),"")</f>
        <v>0</v>
      </c>
      <c r="K253">
        <f>IFERROR(G253*B253*'Bulk Calculator'!J24/SQRT('Bulk Calculator'!S24)/1000,"")</f>
        <v>0</v>
      </c>
      <c r="L253">
        <f>IF(OR('Bulk Calculator'!R24="",'Bulk Calculator'!S24="",G253=""),0,IF(K253&gt;='Bulk Calculator'!R24,1,0))</f>
        <v>1</v>
      </c>
      <c r="M253">
        <f>IF(AND(H253=1,I253&lt;='OS-DORAEN'!$B$6,J253&lt;='OS-DORAEN'!$B$5,L253=1),1,0)</f>
        <v>1</v>
      </c>
      <c r="N253" t="str">
        <f t="shared" si="3"/>
        <v>Manufacturer VD Ref</v>
      </c>
    </row>
    <row r="254" spans="1:14" ht="15" customHeight="1" x14ac:dyDescent="0.35">
      <c r="A254">
        <v>25</v>
      </c>
      <c r="B254">
        <v>400</v>
      </c>
      <c r="C254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Master'!$F:$F,B254),"")</f>
        <v>530</v>
      </c>
      <c r="D254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Master'!$F:$F,B254),"")</f>
        <v>0.1023</v>
      </c>
      <c r="E254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Master'!$F:$F,B254),"")</f>
        <v>0.1023</v>
      </c>
      <c r="F254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Master'!$F:$F,B254),"")</f>
        <v>7.0000000000000007E-2</v>
      </c>
      <c r="G254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Master'!$F:$F,B254),"")</f>
        <v>143</v>
      </c>
      <c r="H254">
        <f>IF(AND(ISNUMBER(C254),C254&gt;='Bulk Calculator'!U25/('Bulk Calculator'!J25*'Bulk Calculator'!L25)),1,0)</f>
        <v>1</v>
      </c>
      <c r="I254">
        <f>IFERROR(IF(AND(ISNUMBER(E254),ISNUMBER(F254),E254&gt;0,F254&gt;0),SQRT(3)*'Bulk Calculator'!O25*'Bulk Calculator'!AA25*((E254*'Bulk Calculator'!Q25)+(F254*SQRT(1-'Bulk Calculator'!Q25^2)))/'Bulk Calculator'!J25/'Bulk Calculator'!K25*100,D254*'Bulk Calculator'!AA25*'Bulk Calculator'!O25/'Bulk Calculator'!J25/'Bulk Calculator'!K25*100),"")</f>
        <v>0</v>
      </c>
      <c r="J254">
        <f>IFERROR(IF(AND(ISNUMBER(E254),ISNUMBER(F254),E254&gt;0,F254&gt;0),SQRT(3)*'Bulk Calculator'!O25*'Bulk Calculator'!U25*((E254*'Bulk Calculator'!M25)+(F254*SQRT(1-'Bulk Calculator'!M25^2)))/'Bulk Calculator'!J25/'Bulk Calculator'!K25*100,D254*'Bulk Calculator'!U25*'Bulk Calculator'!O25/'Bulk Calculator'!J25/'Bulk Calculator'!K25*100),"")</f>
        <v>0</v>
      </c>
      <c r="K254">
        <f>IFERROR(G254*B254*'Bulk Calculator'!J25/SQRT('Bulk Calculator'!S25)/1000,"")</f>
        <v>127.90308831298798</v>
      </c>
      <c r="L254">
        <f>IF(OR('Bulk Calculator'!R25="",'Bulk Calculator'!S25="",G254=""),0,IF(K254&gt;='Bulk Calculator'!R25,1,0))</f>
        <v>1</v>
      </c>
      <c r="M254">
        <f>IF(AND(H254=1,I254&lt;='OS-DORAEN'!$B$6,J254&lt;='OS-DORAEN'!$B$5,L254=1),1,0)</f>
        <v>1</v>
      </c>
      <c r="N254" t="str">
        <f t="shared" si="3"/>
        <v>R/X</v>
      </c>
    </row>
    <row r="255" spans="1:14" ht="15" customHeight="1" x14ac:dyDescent="0.35">
      <c r="A255">
        <v>25</v>
      </c>
      <c r="B255">
        <v>300</v>
      </c>
      <c r="C255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Master'!$F:$F,B255),"")</f>
        <v>455</v>
      </c>
      <c r="D255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Master'!$F:$F,B255),"")</f>
        <v>0.13</v>
      </c>
      <c r="E255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Master'!$F:$F,B255),"")</f>
        <v>0.13</v>
      </c>
      <c r="F255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Master'!$F:$F,B255),"")</f>
        <v>7.0999999999999994E-2</v>
      </c>
      <c r="G255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Master'!$F:$F,B255),"")</f>
        <v>143</v>
      </c>
      <c r="H255">
        <f>IF(AND(ISNUMBER(C255),C255&gt;='Bulk Calculator'!U25/('Bulk Calculator'!J25*'Bulk Calculator'!L25)),1,0)</f>
        <v>1</v>
      </c>
      <c r="I255">
        <f>IFERROR(IF(AND(ISNUMBER(E255),ISNUMBER(F255),E255&gt;0,F255&gt;0),SQRT(3)*'Bulk Calculator'!O25*'Bulk Calculator'!AA25*((E255*'Bulk Calculator'!Q25)+(F255*SQRT(1-'Bulk Calculator'!Q25^2)))/'Bulk Calculator'!J25/'Bulk Calculator'!K25*100,D255*'Bulk Calculator'!AA25*'Bulk Calculator'!O25/'Bulk Calculator'!J25/'Bulk Calculator'!K25*100),"")</f>
        <v>0</v>
      </c>
      <c r="J255">
        <f>IFERROR(IF(AND(ISNUMBER(E255),ISNUMBER(F255),E255&gt;0,F255&gt;0),SQRT(3)*'Bulk Calculator'!O25*'Bulk Calculator'!U25*((E255*'Bulk Calculator'!M25)+(F255*SQRT(1-'Bulk Calculator'!M25^2)))/'Bulk Calculator'!J25/'Bulk Calculator'!K25*100,D255*'Bulk Calculator'!U25*'Bulk Calculator'!O25/'Bulk Calculator'!J25/'Bulk Calculator'!K25*100),"")</f>
        <v>0</v>
      </c>
      <c r="K255">
        <f>IFERROR(G255*B255*'Bulk Calculator'!J25/SQRT('Bulk Calculator'!S25)/1000,"")</f>
        <v>95.927316234740985</v>
      </c>
      <c r="L255">
        <f>IF(OR('Bulk Calculator'!R25="",'Bulk Calculator'!S25="",G255=""),0,IF(K255&gt;='Bulk Calculator'!R25,1,0))</f>
        <v>1</v>
      </c>
      <c r="M255">
        <f>IF(AND(H255=1,I255&lt;='OS-DORAEN'!$B$6,J255&lt;='OS-DORAEN'!$B$5,L255=1),1,0)</f>
        <v>1</v>
      </c>
      <c r="N255" t="str">
        <f t="shared" si="3"/>
        <v>R/X</v>
      </c>
    </row>
    <row r="256" spans="1:14" ht="15" customHeight="1" x14ac:dyDescent="0.35">
      <c r="A256">
        <v>25</v>
      </c>
      <c r="B256">
        <v>240</v>
      </c>
      <c r="C256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Master'!$F:$F,B256),"")</f>
        <v>399</v>
      </c>
      <c r="D256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Master'!$F:$F,B256),"")</f>
        <v>0.16200000000000001</v>
      </c>
      <c r="E256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Master'!$F:$F,B256),"")</f>
        <v>0.16200000000000001</v>
      </c>
      <c r="F256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Master'!$F:$F,B256),"")</f>
        <v>7.1999999999999995E-2</v>
      </c>
      <c r="G256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Master'!$F:$F,B256),"")</f>
        <v>143</v>
      </c>
      <c r="H256">
        <f>IF(AND(ISNUMBER(C256),C256&gt;='Bulk Calculator'!U25/('Bulk Calculator'!J25*'Bulk Calculator'!L25)),1,0)</f>
        <v>1</v>
      </c>
      <c r="I256">
        <f>IFERROR(IF(AND(ISNUMBER(E256),ISNUMBER(F256),E256&gt;0,F256&gt;0),SQRT(3)*'Bulk Calculator'!O25*'Bulk Calculator'!AA25*((E256*'Bulk Calculator'!Q25)+(F256*SQRT(1-'Bulk Calculator'!Q25^2)))/'Bulk Calculator'!J25/'Bulk Calculator'!K25*100,D256*'Bulk Calculator'!AA25*'Bulk Calculator'!O25/'Bulk Calculator'!J25/'Bulk Calculator'!K25*100),"")</f>
        <v>0</v>
      </c>
      <c r="J256">
        <f>IFERROR(IF(AND(ISNUMBER(E256),ISNUMBER(F256),E256&gt;0,F256&gt;0),SQRT(3)*'Bulk Calculator'!O25*'Bulk Calculator'!U25*((E256*'Bulk Calculator'!M25)+(F256*SQRT(1-'Bulk Calculator'!M25^2)))/'Bulk Calculator'!J25/'Bulk Calculator'!K25*100,D256*'Bulk Calculator'!U25*'Bulk Calculator'!O25/'Bulk Calculator'!J25/'Bulk Calculator'!K25*100),"")</f>
        <v>0</v>
      </c>
      <c r="K256">
        <f>IFERROR(G256*B256*'Bulk Calculator'!J25/SQRT('Bulk Calculator'!S25)/1000,"")</f>
        <v>76.741852987792782</v>
      </c>
      <c r="L256">
        <f>IF(OR('Bulk Calculator'!R25="",'Bulk Calculator'!S25="",G256=""),0,IF(K256&gt;='Bulk Calculator'!R25,1,0))</f>
        <v>1</v>
      </c>
      <c r="M256">
        <f>IF(AND(H256=1,I256&lt;='OS-DORAEN'!$B$6,J256&lt;='OS-DORAEN'!$B$5,L256=1),1,0)</f>
        <v>1</v>
      </c>
      <c r="N256" t="str">
        <f t="shared" si="3"/>
        <v>R/X</v>
      </c>
    </row>
    <row r="257" spans="1:14" ht="15" customHeight="1" x14ac:dyDescent="0.35">
      <c r="A257">
        <v>25</v>
      </c>
      <c r="B257">
        <v>185</v>
      </c>
      <c r="C257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Master'!$F:$F,B257),"")</f>
        <v>337</v>
      </c>
      <c r="D257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Master'!$F:$F,B257),"")</f>
        <v>0.21099999999999999</v>
      </c>
      <c r="E257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Master'!$F:$F,B257),"")</f>
        <v>0.21099999999999999</v>
      </c>
      <c r="F257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Master'!$F:$F,B257),"")</f>
        <v>7.1999999999999995E-2</v>
      </c>
      <c r="G257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Master'!$F:$F,B257),"")</f>
        <v>143</v>
      </c>
      <c r="H257">
        <f>IF(AND(ISNUMBER(C257),C257&gt;='Bulk Calculator'!U25/('Bulk Calculator'!J25*'Bulk Calculator'!L25)),1,0)</f>
        <v>1</v>
      </c>
      <c r="I257">
        <f>IFERROR(IF(AND(ISNUMBER(E257),ISNUMBER(F257),E257&gt;0,F257&gt;0),SQRT(3)*'Bulk Calculator'!O25*'Bulk Calculator'!AA25*((E257*'Bulk Calculator'!Q25)+(F257*SQRT(1-'Bulk Calculator'!Q25^2)))/'Bulk Calculator'!J25/'Bulk Calculator'!K25*100,D257*'Bulk Calculator'!AA25*'Bulk Calculator'!O25/'Bulk Calculator'!J25/'Bulk Calculator'!K25*100),"")</f>
        <v>0</v>
      </c>
      <c r="J257">
        <f>IFERROR(IF(AND(ISNUMBER(E257),ISNUMBER(F257),E257&gt;0,F257&gt;0),SQRT(3)*'Bulk Calculator'!O25*'Bulk Calculator'!U25*((E257*'Bulk Calculator'!M25)+(F257*SQRT(1-'Bulk Calculator'!M25^2)))/'Bulk Calculator'!J25/'Bulk Calculator'!K25*100,D257*'Bulk Calculator'!U25*'Bulk Calculator'!O25/'Bulk Calculator'!J25/'Bulk Calculator'!K25*100),"")</f>
        <v>0</v>
      </c>
      <c r="K257">
        <f>IFERROR(G257*B257*'Bulk Calculator'!J25/SQRT('Bulk Calculator'!S25)/1000,"")</f>
        <v>59.155178344756941</v>
      </c>
      <c r="L257">
        <f>IF(OR('Bulk Calculator'!R25="",'Bulk Calculator'!S25="",G257=""),0,IF(K257&gt;='Bulk Calculator'!R25,1,0))</f>
        <v>1</v>
      </c>
      <c r="M257">
        <f>IF(AND(H257=1,I257&lt;='OS-DORAEN'!$B$6,J257&lt;='OS-DORAEN'!$B$5,L257=1),1,0)</f>
        <v>1</v>
      </c>
      <c r="N257" t="str">
        <f t="shared" si="3"/>
        <v>R/X</v>
      </c>
    </row>
    <row r="258" spans="1:14" ht="15" customHeight="1" x14ac:dyDescent="0.35">
      <c r="A258">
        <v>25</v>
      </c>
      <c r="B258">
        <v>150</v>
      </c>
      <c r="C258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Master'!$F:$F,B258),"")</f>
        <v>292</v>
      </c>
      <c r="D258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Master'!$F:$F,B258),"")</f>
        <v>0.26500000000000001</v>
      </c>
      <c r="E258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Master'!$F:$F,B258),"")</f>
        <v>0.26500000000000001</v>
      </c>
      <c r="F258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Master'!$F:$F,B258),"")</f>
        <v>7.1999999999999995E-2</v>
      </c>
      <c r="G258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Master'!$F:$F,B258),"")</f>
        <v>143</v>
      </c>
      <c r="H258">
        <f>IF(AND(ISNUMBER(C258),C258&gt;='Bulk Calculator'!U25/('Bulk Calculator'!J25*'Bulk Calculator'!L25)),1,0)</f>
        <v>1</v>
      </c>
      <c r="I258">
        <f>IFERROR(IF(AND(ISNUMBER(E258),ISNUMBER(F258),E258&gt;0,F258&gt;0),SQRT(3)*'Bulk Calculator'!O25*'Bulk Calculator'!AA25*((E258*'Bulk Calculator'!Q25)+(F258*SQRT(1-'Bulk Calculator'!Q25^2)))/'Bulk Calculator'!J25/'Bulk Calculator'!K25*100,D258*'Bulk Calculator'!AA25*'Bulk Calculator'!O25/'Bulk Calculator'!J25/'Bulk Calculator'!K25*100),"")</f>
        <v>0</v>
      </c>
      <c r="J258">
        <f>IFERROR(IF(AND(ISNUMBER(E258),ISNUMBER(F258),E258&gt;0,F258&gt;0),SQRT(3)*'Bulk Calculator'!O25*'Bulk Calculator'!U25*((E258*'Bulk Calculator'!M25)+(F258*SQRT(1-'Bulk Calculator'!M25^2)))/'Bulk Calculator'!J25/'Bulk Calculator'!K25*100,D258*'Bulk Calculator'!U25*'Bulk Calculator'!O25/'Bulk Calculator'!J25/'Bulk Calculator'!K25*100),"")</f>
        <v>0</v>
      </c>
      <c r="K258">
        <f>IFERROR(G258*B258*'Bulk Calculator'!J25/SQRT('Bulk Calculator'!S25)/1000,"")</f>
        <v>47.963658117370493</v>
      </c>
      <c r="L258">
        <f>IF(OR('Bulk Calculator'!R25="",'Bulk Calculator'!S25="",G258=""),0,IF(K258&gt;='Bulk Calculator'!R25,1,0))</f>
        <v>1</v>
      </c>
      <c r="M258">
        <f>IF(AND(H258=1,I258&lt;='OS-DORAEN'!$B$6,J258&lt;='OS-DORAEN'!$B$5,L258=1),1,0)</f>
        <v>1</v>
      </c>
      <c r="N258" t="str">
        <f t="shared" ref="N258:N321" si="4">IF(AND(ISNUMBER(E258),ISNUMBER(F258),E258&gt;0,F258&gt;0),"R/X","Manufacturer VD Ref")</f>
        <v>R/X</v>
      </c>
    </row>
    <row r="259" spans="1:14" ht="15" customHeight="1" x14ac:dyDescent="0.35">
      <c r="A259">
        <v>25</v>
      </c>
      <c r="B259">
        <v>120</v>
      </c>
      <c r="C259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Master'!$F:$F,B259),"")</f>
        <v>257</v>
      </c>
      <c r="D259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Master'!$F:$F,B259),"")</f>
        <v>0.32500000000000001</v>
      </c>
      <c r="E259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Master'!$F:$F,B259),"")</f>
        <v>0.32500000000000001</v>
      </c>
      <c r="F259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Master'!$F:$F,B259),"")</f>
        <v>7.1999999999999995E-2</v>
      </c>
      <c r="G259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Master'!$F:$F,B259),"")</f>
        <v>143</v>
      </c>
      <c r="H259">
        <f>IF(AND(ISNUMBER(C259),C259&gt;='Bulk Calculator'!U25/('Bulk Calculator'!J25*'Bulk Calculator'!L25)),1,0)</f>
        <v>1</v>
      </c>
      <c r="I259">
        <f>IFERROR(IF(AND(ISNUMBER(E259),ISNUMBER(F259),E259&gt;0,F259&gt;0),SQRT(3)*'Bulk Calculator'!O25*'Bulk Calculator'!AA25*((E259*'Bulk Calculator'!Q25)+(F259*SQRT(1-'Bulk Calculator'!Q25^2)))/'Bulk Calculator'!J25/'Bulk Calculator'!K25*100,D259*'Bulk Calculator'!AA25*'Bulk Calculator'!O25/'Bulk Calculator'!J25/'Bulk Calculator'!K25*100),"")</f>
        <v>0</v>
      </c>
      <c r="J259">
        <f>IFERROR(IF(AND(ISNUMBER(E259),ISNUMBER(F259),E259&gt;0,F259&gt;0),SQRT(3)*'Bulk Calculator'!O25*'Bulk Calculator'!U25*((E259*'Bulk Calculator'!M25)+(F259*SQRT(1-'Bulk Calculator'!M25^2)))/'Bulk Calculator'!J25/'Bulk Calculator'!K25*100,D259*'Bulk Calculator'!U25*'Bulk Calculator'!O25/'Bulk Calculator'!J25/'Bulk Calculator'!K25*100),"")</f>
        <v>0</v>
      </c>
      <c r="K259">
        <f>IFERROR(G259*B259*'Bulk Calculator'!J25/SQRT('Bulk Calculator'!S25)/1000,"")</f>
        <v>38.370926493896391</v>
      </c>
      <c r="L259">
        <f>IF(OR('Bulk Calculator'!R25="",'Bulk Calculator'!S25="",G259=""),0,IF(K259&gt;='Bulk Calculator'!R25,1,0))</f>
        <v>1</v>
      </c>
      <c r="M259">
        <f>IF(AND(H259=1,I259&lt;='OS-DORAEN'!$B$6,J259&lt;='OS-DORAEN'!$B$5,L259=1),1,0)</f>
        <v>1</v>
      </c>
      <c r="N259" t="str">
        <f t="shared" si="4"/>
        <v>R/X</v>
      </c>
    </row>
    <row r="260" spans="1:14" ht="15" customHeight="1" x14ac:dyDescent="0.35">
      <c r="A260">
        <v>25</v>
      </c>
      <c r="B260">
        <v>95</v>
      </c>
      <c r="C260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Master'!$F:$F,B260),"")</f>
        <v>221</v>
      </c>
      <c r="D260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Master'!$F:$F,B260),"")</f>
        <v>0.41</v>
      </c>
      <c r="E260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Master'!$F:$F,B260),"")</f>
        <v>0.41</v>
      </c>
      <c r="F260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Master'!$F:$F,B260),"")</f>
        <v>7.3999999999999996E-2</v>
      </c>
      <c r="G260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Master'!$F:$F,B260),"")</f>
        <v>143</v>
      </c>
      <c r="H260">
        <f>IF(AND(ISNUMBER(C260),C260&gt;='Bulk Calculator'!U25/('Bulk Calculator'!J25*'Bulk Calculator'!L25)),1,0)</f>
        <v>1</v>
      </c>
      <c r="I260">
        <f>IFERROR(IF(AND(ISNUMBER(E260),ISNUMBER(F260),E260&gt;0,F260&gt;0),SQRT(3)*'Bulk Calculator'!O25*'Bulk Calculator'!AA25*((E260*'Bulk Calculator'!Q25)+(F260*SQRT(1-'Bulk Calculator'!Q25^2)))/'Bulk Calculator'!J25/'Bulk Calculator'!K25*100,D260*'Bulk Calculator'!AA25*'Bulk Calculator'!O25/'Bulk Calculator'!J25/'Bulk Calculator'!K25*100),"")</f>
        <v>0</v>
      </c>
      <c r="J260">
        <f>IFERROR(IF(AND(ISNUMBER(E260),ISNUMBER(F260),E260&gt;0,F260&gt;0),SQRT(3)*'Bulk Calculator'!O25*'Bulk Calculator'!U25*((E260*'Bulk Calculator'!M25)+(F260*SQRT(1-'Bulk Calculator'!M25^2)))/'Bulk Calculator'!J25/'Bulk Calculator'!K25*100,D260*'Bulk Calculator'!U25*'Bulk Calculator'!O25/'Bulk Calculator'!J25/'Bulk Calculator'!K25*100),"")</f>
        <v>0</v>
      </c>
      <c r="K260">
        <f>IFERROR(G260*B260*'Bulk Calculator'!J25/SQRT('Bulk Calculator'!S25)/1000,"")</f>
        <v>30.376983474334644</v>
      </c>
      <c r="L260">
        <f>IF(OR('Bulk Calculator'!R25="",'Bulk Calculator'!S25="",G260=""),0,IF(K260&gt;='Bulk Calculator'!R25,1,0))</f>
        <v>1</v>
      </c>
      <c r="M260">
        <f>IF(AND(H260=1,I260&lt;='OS-DORAEN'!$B$6,J260&lt;='OS-DORAEN'!$B$5,L260=1),1,0)</f>
        <v>1</v>
      </c>
      <c r="N260" t="str">
        <f t="shared" si="4"/>
        <v>R/X</v>
      </c>
    </row>
    <row r="261" spans="1:14" ht="15" customHeight="1" x14ac:dyDescent="0.35">
      <c r="A261">
        <v>25</v>
      </c>
      <c r="B261">
        <v>70</v>
      </c>
      <c r="C261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Master'!$F:$F,B261),"")</f>
        <v>179</v>
      </c>
      <c r="D261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Master'!$F:$F,B261),"")</f>
        <v>0.56699999999999995</v>
      </c>
      <c r="E261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Master'!$F:$F,B261),"")</f>
        <v>0.56699999999999995</v>
      </c>
      <c r="F261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Master'!$F:$F,B261),"")</f>
        <v>7.6999999999999999E-2</v>
      </c>
      <c r="G261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Master'!$F:$F,B261),"")</f>
        <v>143</v>
      </c>
      <c r="H261">
        <f>IF(AND(ISNUMBER(C261),C261&gt;='Bulk Calculator'!U25/('Bulk Calculator'!J25*'Bulk Calculator'!L25)),1,0)</f>
        <v>1</v>
      </c>
      <c r="I261">
        <f>IFERROR(IF(AND(ISNUMBER(E261),ISNUMBER(F261),E261&gt;0,F261&gt;0),SQRT(3)*'Bulk Calculator'!O25*'Bulk Calculator'!AA25*((E261*'Bulk Calculator'!Q25)+(F261*SQRT(1-'Bulk Calculator'!Q25^2)))/'Bulk Calculator'!J25/'Bulk Calculator'!K25*100,D261*'Bulk Calculator'!AA25*'Bulk Calculator'!O25/'Bulk Calculator'!J25/'Bulk Calculator'!K25*100),"")</f>
        <v>0</v>
      </c>
      <c r="J261">
        <f>IFERROR(IF(AND(ISNUMBER(E261),ISNUMBER(F261),E261&gt;0,F261&gt;0),SQRT(3)*'Bulk Calculator'!O25*'Bulk Calculator'!U25*((E261*'Bulk Calculator'!M25)+(F261*SQRT(1-'Bulk Calculator'!M25^2)))/'Bulk Calculator'!J25/'Bulk Calculator'!K25*100,D261*'Bulk Calculator'!U25*'Bulk Calculator'!O25/'Bulk Calculator'!J25/'Bulk Calculator'!K25*100),"")</f>
        <v>0</v>
      </c>
      <c r="K261">
        <f>IFERROR(G261*B261*'Bulk Calculator'!J25/SQRT('Bulk Calculator'!S25)/1000,"")</f>
        <v>22.383040454772893</v>
      </c>
      <c r="L261">
        <f>IF(OR('Bulk Calculator'!R25="",'Bulk Calculator'!S25="",G261=""),0,IF(K261&gt;='Bulk Calculator'!R25,1,0))</f>
        <v>1</v>
      </c>
      <c r="M261">
        <f>IF(AND(H261=1,I261&lt;='OS-DORAEN'!$B$6,J261&lt;='OS-DORAEN'!$B$5,L261=1),1,0)</f>
        <v>1</v>
      </c>
      <c r="N261" t="str">
        <f t="shared" si="4"/>
        <v>R/X</v>
      </c>
    </row>
    <row r="262" spans="1:14" ht="15" customHeight="1" x14ac:dyDescent="0.35">
      <c r="A262">
        <v>25</v>
      </c>
      <c r="B262">
        <v>50</v>
      </c>
      <c r="C262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Master'!$F:$F,B262),"")</f>
        <v>142</v>
      </c>
      <c r="D262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Master'!$F:$F,B262),"")</f>
        <v>0.82</v>
      </c>
      <c r="E262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Master'!$F:$F,B262),"")</f>
        <v>0.82</v>
      </c>
      <c r="F262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Master'!$F:$F,B262),"")</f>
        <v>7.8E-2</v>
      </c>
      <c r="G262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Master'!$F:$F,B262),"")</f>
        <v>143</v>
      </c>
      <c r="H262">
        <f>IF(AND(ISNUMBER(C262),C262&gt;='Bulk Calculator'!U25/('Bulk Calculator'!J25*'Bulk Calculator'!L25)),1,0)</f>
        <v>1</v>
      </c>
      <c r="I262">
        <f>IFERROR(IF(AND(ISNUMBER(E262),ISNUMBER(F262),E262&gt;0,F262&gt;0),SQRT(3)*'Bulk Calculator'!O25*'Bulk Calculator'!AA25*((E262*'Bulk Calculator'!Q25)+(F262*SQRT(1-'Bulk Calculator'!Q25^2)))/'Bulk Calculator'!J25/'Bulk Calculator'!K25*100,D262*'Bulk Calculator'!AA25*'Bulk Calculator'!O25/'Bulk Calculator'!J25/'Bulk Calculator'!K25*100),"")</f>
        <v>0</v>
      </c>
      <c r="J262">
        <f>IFERROR(IF(AND(ISNUMBER(E262),ISNUMBER(F262),E262&gt;0,F262&gt;0),SQRT(3)*'Bulk Calculator'!O25*'Bulk Calculator'!U25*((E262*'Bulk Calculator'!M25)+(F262*SQRT(1-'Bulk Calculator'!M25^2)))/'Bulk Calculator'!J25/'Bulk Calculator'!K25*100,D262*'Bulk Calculator'!U25*'Bulk Calculator'!O25/'Bulk Calculator'!J25/'Bulk Calculator'!K25*100),"")</f>
        <v>0</v>
      </c>
      <c r="K262">
        <f>IFERROR(G262*B262*'Bulk Calculator'!J25/SQRT('Bulk Calculator'!S25)/1000,"")</f>
        <v>15.987886039123497</v>
      </c>
      <c r="L262">
        <f>IF(OR('Bulk Calculator'!R25="",'Bulk Calculator'!S25="",G262=""),0,IF(K262&gt;='Bulk Calculator'!R25,1,0))</f>
        <v>1</v>
      </c>
      <c r="M262">
        <f>IF(AND(H262=1,I262&lt;='OS-DORAEN'!$B$6,J262&lt;='OS-DORAEN'!$B$5,L262=1),1,0)</f>
        <v>1</v>
      </c>
      <c r="N262" t="str">
        <f t="shared" si="4"/>
        <v>R/X</v>
      </c>
    </row>
    <row r="263" spans="1:14" ht="15" customHeight="1" x14ac:dyDescent="0.35">
      <c r="A263">
        <v>25</v>
      </c>
      <c r="B263">
        <v>35</v>
      </c>
      <c r="C263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Master'!$F:$F,B263),"")</f>
        <v>117</v>
      </c>
      <c r="D263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Master'!$F:$F,B263),"")</f>
        <v>1.1100000000000001</v>
      </c>
      <c r="E263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Master'!$F:$F,B263),"")</f>
        <v>1.1100000000000001</v>
      </c>
      <c r="F263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Master'!$F:$F,B263),"")</f>
        <v>0.08</v>
      </c>
      <c r="G263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Master'!$F:$F,B263),"")</f>
        <v>143</v>
      </c>
      <c r="H263">
        <f>IF(AND(ISNUMBER(C263),C263&gt;='Bulk Calculator'!U25/('Bulk Calculator'!J25*'Bulk Calculator'!L25)),1,0)</f>
        <v>1</v>
      </c>
      <c r="I263">
        <f>IFERROR(IF(AND(ISNUMBER(E263),ISNUMBER(F263),E263&gt;0,F263&gt;0),SQRT(3)*'Bulk Calculator'!O25*'Bulk Calculator'!AA25*((E263*'Bulk Calculator'!Q25)+(F263*SQRT(1-'Bulk Calculator'!Q25^2)))/'Bulk Calculator'!J25/'Bulk Calculator'!K25*100,D263*'Bulk Calculator'!AA25*'Bulk Calculator'!O25/'Bulk Calculator'!J25/'Bulk Calculator'!K25*100),"")</f>
        <v>0</v>
      </c>
      <c r="J263">
        <f>IFERROR(IF(AND(ISNUMBER(E263),ISNUMBER(F263),E263&gt;0,F263&gt;0),SQRT(3)*'Bulk Calculator'!O25*'Bulk Calculator'!U25*((E263*'Bulk Calculator'!M25)+(F263*SQRT(1-'Bulk Calculator'!M25^2)))/'Bulk Calculator'!J25/'Bulk Calculator'!K25*100,D263*'Bulk Calculator'!U25*'Bulk Calculator'!O25/'Bulk Calculator'!J25/'Bulk Calculator'!K25*100),"")</f>
        <v>0</v>
      </c>
      <c r="K263">
        <f>IFERROR(G263*B263*'Bulk Calculator'!J25/SQRT('Bulk Calculator'!S25)/1000,"")</f>
        <v>11.191520227386446</v>
      </c>
      <c r="L263">
        <f>IF(OR('Bulk Calculator'!R25="",'Bulk Calculator'!S25="",G263=""),0,IF(K263&gt;='Bulk Calculator'!R25,1,0))</f>
        <v>1</v>
      </c>
      <c r="M263">
        <f>IF(AND(H263=1,I263&lt;='OS-DORAEN'!$B$6,J263&lt;='OS-DORAEN'!$B$5,L263=1),1,0)</f>
        <v>1</v>
      </c>
      <c r="N263" t="str">
        <f t="shared" si="4"/>
        <v>R/X</v>
      </c>
    </row>
    <row r="264" spans="1:14" ht="15" customHeight="1" x14ac:dyDescent="0.35">
      <c r="A264">
        <v>25</v>
      </c>
      <c r="B264">
        <v>25</v>
      </c>
      <c r="C264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Master'!$F:$F,B264),"")</f>
        <v>96</v>
      </c>
      <c r="D264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Master'!$F:$F,B264),"")</f>
        <v>1.54</v>
      </c>
      <c r="E264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Master'!$F:$F,B264),"")</f>
        <v>1.54</v>
      </c>
      <c r="F264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Master'!$F:$F,B264),"")</f>
        <v>0.08</v>
      </c>
      <c r="G264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Master'!$F:$F,B264),"")</f>
        <v>143</v>
      </c>
      <c r="H264">
        <f>IF(AND(ISNUMBER(C264),C264&gt;='Bulk Calculator'!U25/('Bulk Calculator'!J25*'Bulk Calculator'!L25)),1,0)</f>
        <v>1</v>
      </c>
      <c r="I264">
        <f>IFERROR(IF(AND(ISNUMBER(E264),ISNUMBER(F264),E264&gt;0,F264&gt;0),SQRT(3)*'Bulk Calculator'!O25*'Bulk Calculator'!AA25*((E264*'Bulk Calculator'!Q25)+(F264*SQRT(1-'Bulk Calculator'!Q25^2)))/'Bulk Calculator'!J25/'Bulk Calculator'!K25*100,D264*'Bulk Calculator'!AA25*'Bulk Calculator'!O25/'Bulk Calculator'!J25/'Bulk Calculator'!K25*100),"")</f>
        <v>0</v>
      </c>
      <c r="J264">
        <f>IFERROR(IF(AND(ISNUMBER(E264),ISNUMBER(F264),E264&gt;0,F264&gt;0),SQRT(3)*'Bulk Calculator'!O25*'Bulk Calculator'!U25*((E264*'Bulk Calculator'!M25)+(F264*SQRT(1-'Bulk Calculator'!M25^2)))/'Bulk Calculator'!J25/'Bulk Calculator'!K25*100,D264*'Bulk Calculator'!U25*'Bulk Calculator'!O25/'Bulk Calculator'!J25/'Bulk Calculator'!K25*100),"")</f>
        <v>0</v>
      </c>
      <c r="K264">
        <f>IFERROR(G264*B264*'Bulk Calculator'!J25/SQRT('Bulk Calculator'!S25)/1000,"")</f>
        <v>7.9939430195617485</v>
      </c>
      <c r="L264">
        <f>IF(OR('Bulk Calculator'!R25="",'Bulk Calculator'!S25="",G264=""),0,IF(K264&gt;='Bulk Calculator'!R25,1,0))</f>
        <v>1</v>
      </c>
      <c r="M264">
        <f>IF(AND(H264=1,I264&lt;='OS-DORAEN'!$B$6,J264&lt;='OS-DORAEN'!$B$5,L264=1),1,0)</f>
        <v>1</v>
      </c>
      <c r="N264" t="str">
        <f t="shared" si="4"/>
        <v>R/X</v>
      </c>
    </row>
    <row r="265" spans="1:14" ht="15" customHeight="1" x14ac:dyDescent="0.35">
      <c r="A265">
        <v>25</v>
      </c>
      <c r="B265">
        <v>16</v>
      </c>
      <c r="C265">
        <f>IFERROR(SUMIFS('Cable Data Master'!$G:$G,'Cable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Master'!$F:$F,B265),"")</f>
        <v>0</v>
      </c>
      <c r="D265">
        <f>IFERROR(SUMIFS('Cable Data Master'!$K:$K,'Cable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Master'!$F:$F,B265),"")</f>
        <v>0</v>
      </c>
      <c r="E265">
        <f>IFERROR(SUMIFS('Cable Data Master'!$H:$H,'Cable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Master'!$F:$F,B265),"")</f>
        <v>0</v>
      </c>
      <c r="F265">
        <f>IFERROR(SUMIFS('Cable Data Master'!$I:$I,'Cable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Master'!$F:$F,B265),"")</f>
        <v>0</v>
      </c>
      <c r="G265">
        <f>IFERROR(SUMIFS('Cable Data Master'!$J:$J,'Cable Data Master'!$A:$A,'Bulk Calculator'!$BF25,'Cable Data Master'!$B:$B,'Bulk Calculator'!$BG25,'Cable Data Master'!$C:$C,'Bulk Calculator'!$BH25,'Cable Data Master'!$D:$D,'Bulk Calculator'!$BI25,'Cable Data Master'!$E:$E,'Bulk Calculator'!$BJ25,'Cable Data Master'!$F:$F,B265),"")</f>
        <v>0</v>
      </c>
      <c r="H265">
        <f>IF(AND(ISNUMBER(C265),C265&gt;='Bulk Calculator'!U25/('Bulk Calculator'!J25*'Bulk Calculator'!L25)),1,0)</f>
        <v>1</v>
      </c>
      <c r="I265">
        <f>IFERROR(IF(AND(ISNUMBER(E265),ISNUMBER(F265),E265&gt;0,F265&gt;0),SQRT(3)*'Bulk Calculator'!O25*'Bulk Calculator'!AA25*((E265*'Bulk Calculator'!Q25)+(F265*SQRT(1-'Bulk Calculator'!Q25^2)))/'Bulk Calculator'!J25/'Bulk Calculator'!K25*100,D265*'Bulk Calculator'!AA25*'Bulk Calculator'!O25/'Bulk Calculator'!J25/'Bulk Calculator'!K25*100),"")</f>
        <v>0</v>
      </c>
      <c r="J265">
        <f>IFERROR(IF(AND(ISNUMBER(E265),ISNUMBER(F265),E265&gt;0,F265&gt;0),SQRT(3)*'Bulk Calculator'!O25*'Bulk Calculator'!U25*((E265*'Bulk Calculator'!M25)+(F265*SQRT(1-'Bulk Calculator'!M25^2)))/'Bulk Calculator'!J25/'Bulk Calculator'!K25*100,D265*'Bulk Calculator'!U25*'Bulk Calculator'!O25/'Bulk Calculator'!J25/'Bulk Calculator'!K25*100),"")</f>
        <v>0</v>
      </c>
      <c r="K265">
        <f>IFERROR(G265*B265*'Bulk Calculator'!J25/SQRT('Bulk Calculator'!S25)/1000,"")</f>
        <v>0</v>
      </c>
      <c r="L265">
        <f>IF(OR('Bulk Calculator'!R25="",'Bulk Calculator'!S25="",G265=""),0,IF(K265&gt;='Bulk Calculator'!R25,1,0))</f>
        <v>1</v>
      </c>
      <c r="M265">
        <f>IF(AND(H265=1,I265&lt;='OS-DORAEN'!$B$6,J265&lt;='OS-DORAEN'!$B$5,L265=1),1,0)</f>
        <v>1</v>
      </c>
      <c r="N265" t="str">
        <f t="shared" si="4"/>
        <v>Manufacturer VD Ref</v>
      </c>
    </row>
    <row r="266" spans="1:14" ht="15" customHeight="1" x14ac:dyDescent="0.35">
      <c r="A266">
        <v>26</v>
      </c>
      <c r="B266">
        <v>400</v>
      </c>
      <c r="C266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Master'!$F:$F,B266),"")</f>
        <v>530</v>
      </c>
      <c r="D266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Master'!$F:$F,B266),"")</f>
        <v>0.1023</v>
      </c>
      <c r="E266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Master'!$F:$F,B266),"")</f>
        <v>0.1023</v>
      </c>
      <c r="F266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Master'!$F:$F,B266),"")</f>
        <v>7.0000000000000007E-2</v>
      </c>
      <c r="G266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Master'!$F:$F,B266),"")</f>
        <v>143</v>
      </c>
      <c r="H266">
        <f>IF(AND(ISNUMBER(C266),C266&gt;='Bulk Calculator'!U26/('Bulk Calculator'!J26*'Bulk Calculator'!L26)),1,0)</f>
        <v>1</v>
      </c>
      <c r="I266">
        <f>IFERROR(IF(AND(ISNUMBER(E266),ISNUMBER(F266),E266&gt;0,F266&gt;0),SQRT(3)*'Bulk Calculator'!O26*'Bulk Calculator'!AA26*((E266*'Bulk Calculator'!Q26)+(F266*SQRT(1-'Bulk Calculator'!Q26^2)))/'Bulk Calculator'!J26/'Bulk Calculator'!K26*100,D266*'Bulk Calculator'!AA26*'Bulk Calculator'!O26/'Bulk Calculator'!J26/'Bulk Calculator'!K26*100),"")</f>
        <v>0</v>
      </c>
      <c r="J266">
        <f>IFERROR(IF(AND(ISNUMBER(E266),ISNUMBER(F266),E266&gt;0,F266&gt;0),SQRT(3)*'Bulk Calculator'!O26*'Bulk Calculator'!U26*((E266*'Bulk Calculator'!M26)+(F266*SQRT(1-'Bulk Calculator'!M26^2)))/'Bulk Calculator'!J26/'Bulk Calculator'!K26*100,D266*'Bulk Calculator'!U26*'Bulk Calculator'!O26/'Bulk Calculator'!J26/'Bulk Calculator'!K26*100),"")</f>
        <v>0</v>
      </c>
      <c r="K266">
        <f>IFERROR(G266*B266*'Bulk Calculator'!J26/SQRT('Bulk Calculator'!S26)/1000,"")</f>
        <v>127.90308831298798</v>
      </c>
      <c r="L266">
        <f>IF(OR('Bulk Calculator'!R26="",'Bulk Calculator'!S26="",G266=""),0,IF(K266&gt;='Bulk Calculator'!R26,1,0))</f>
        <v>1</v>
      </c>
      <c r="M266">
        <f>IF(AND(H266=1,I266&lt;='OS-DORAEN'!$B$6,J266&lt;='OS-DORAEN'!$B$5,L266=1),1,0)</f>
        <v>1</v>
      </c>
      <c r="N266" t="str">
        <f t="shared" si="4"/>
        <v>R/X</v>
      </c>
    </row>
    <row r="267" spans="1:14" ht="15" customHeight="1" x14ac:dyDescent="0.35">
      <c r="A267">
        <v>26</v>
      </c>
      <c r="B267">
        <v>300</v>
      </c>
      <c r="C267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Master'!$F:$F,B267),"")</f>
        <v>455</v>
      </c>
      <c r="D267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Master'!$F:$F,B267),"")</f>
        <v>0.13</v>
      </c>
      <c r="E267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Master'!$F:$F,B267),"")</f>
        <v>0.13</v>
      </c>
      <c r="F267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Master'!$F:$F,B267),"")</f>
        <v>7.0999999999999994E-2</v>
      </c>
      <c r="G267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Master'!$F:$F,B267),"")</f>
        <v>143</v>
      </c>
      <c r="H267">
        <f>IF(AND(ISNUMBER(C267),C267&gt;='Bulk Calculator'!U26/('Bulk Calculator'!J26*'Bulk Calculator'!L26)),1,0)</f>
        <v>1</v>
      </c>
      <c r="I267">
        <f>IFERROR(IF(AND(ISNUMBER(E267),ISNUMBER(F267),E267&gt;0,F267&gt;0),SQRT(3)*'Bulk Calculator'!O26*'Bulk Calculator'!AA26*((E267*'Bulk Calculator'!Q26)+(F267*SQRT(1-'Bulk Calculator'!Q26^2)))/'Bulk Calculator'!J26/'Bulk Calculator'!K26*100,D267*'Bulk Calculator'!AA26*'Bulk Calculator'!O26/'Bulk Calculator'!J26/'Bulk Calculator'!K26*100),"")</f>
        <v>0</v>
      </c>
      <c r="J267">
        <f>IFERROR(IF(AND(ISNUMBER(E267),ISNUMBER(F267),E267&gt;0,F267&gt;0),SQRT(3)*'Bulk Calculator'!O26*'Bulk Calculator'!U26*((E267*'Bulk Calculator'!M26)+(F267*SQRT(1-'Bulk Calculator'!M26^2)))/'Bulk Calculator'!J26/'Bulk Calculator'!K26*100,D267*'Bulk Calculator'!U26*'Bulk Calculator'!O26/'Bulk Calculator'!J26/'Bulk Calculator'!K26*100),"")</f>
        <v>0</v>
      </c>
      <c r="K267">
        <f>IFERROR(G267*B267*'Bulk Calculator'!J26/SQRT('Bulk Calculator'!S26)/1000,"")</f>
        <v>95.927316234740985</v>
      </c>
      <c r="L267">
        <f>IF(OR('Bulk Calculator'!R26="",'Bulk Calculator'!S26="",G267=""),0,IF(K267&gt;='Bulk Calculator'!R26,1,0))</f>
        <v>1</v>
      </c>
      <c r="M267">
        <f>IF(AND(H267=1,I267&lt;='OS-DORAEN'!$B$6,J267&lt;='OS-DORAEN'!$B$5,L267=1),1,0)</f>
        <v>1</v>
      </c>
      <c r="N267" t="str">
        <f t="shared" si="4"/>
        <v>R/X</v>
      </c>
    </row>
    <row r="268" spans="1:14" ht="15" customHeight="1" x14ac:dyDescent="0.35">
      <c r="A268">
        <v>26</v>
      </c>
      <c r="B268">
        <v>240</v>
      </c>
      <c r="C268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Master'!$F:$F,B268),"")</f>
        <v>399</v>
      </c>
      <c r="D268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Master'!$F:$F,B268),"")</f>
        <v>0.16200000000000001</v>
      </c>
      <c r="E268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Master'!$F:$F,B268),"")</f>
        <v>0.16200000000000001</v>
      </c>
      <c r="F268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Master'!$F:$F,B268),"")</f>
        <v>7.1999999999999995E-2</v>
      </c>
      <c r="G268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Master'!$F:$F,B268),"")</f>
        <v>143</v>
      </c>
      <c r="H268">
        <f>IF(AND(ISNUMBER(C268),C268&gt;='Bulk Calculator'!U26/('Bulk Calculator'!J26*'Bulk Calculator'!L26)),1,0)</f>
        <v>1</v>
      </c>
      <c r="I268">
        <f>IFERROR(IF(AND(ISNUMBER(E268),ISNUMBER(F268),E268&gt;0,F268&gt;0),SQRT(3)*'Bulk Calculator'!O26*'Bulk Calculator'!AA26*((E268*'Bulk Calculator'!Q26)+(F268*SQRT(1-'Bulk Calculator'!Q26^2)))/'Bulk Calculator'!J26/'Bulk Calculator'!K26*100,D268*'Bulk Calculator'!AA26*'Bulk Calculator'!O26/'Bulk Calculator'!J26/'Bulk Calculator'!K26*100),"")</f>
        <v>0</v>
      </c>
      <c r="J268">
        <f>IFERROR(IF(AND(ISNUMBER(E268),ISNUMBER(F268),E268&gt;0,F268&gt;0),SQRT(3)*'Bulk Calculator'!O26*'Bulk Calculator'!U26*((E268*'Bulk Calculator'!M26)+(F268*SQRT(1-'Bulk Calculator'!M26^2)))/'Bulk Calculator'!J26/'Bulk Calculator'!K26*100,D268*'Bulk Calculator'!U26*'Bulk Calculator'!O26/'Bulk Calculator'!J26/'Bulk Calculator'!K26*100),"")</f>
        <v>0</v>
      </c>
      <c r="K268">
        <f>IFERROR(G268*B268*'Bulk Calculator'!J26/SQRT('Bulk Calculator'!S26)/1000,"")</f>
        <v>76.741852987792782</v>
      </c>
      <c r="L268">
        <f>IF(OR('Bulk Calculator'!R26="",'Bulk Calculator'!S26="",G268=""),0,IF(K268&gt;='Bulk Calculator'!R26,1,0))</f>
        <v>1</v>
      </c>
      <c r="M268">
        <f>IF(AND(H268=1,I268&lt;='OS-DORAEN'!$B$6,J268&lt;='OS-DORAEN'!$B$5,L268=1),1,0)</f>
        <v>1</v>
      </c>
      <c r="N268" t="str">
        <f t="shared" si="4"/>
        <v>R/X</v>
      </c>
    </row>
    <row r="269" spans="1:14" ht="15" customHeight="1" x14ac:dyDescent="0.35">
      <c r="A269">
        <v>26</v>
      </c>
      <c r="B269">
        <v>185</v>
      </c>
      <c r="C269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Master'!$F:$F,B269),"")</f>
        <v>337</v>
      </c>
      <c r="D269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Master'!$F:$F,B269),"")</f>
        <v>0.21099999999999999</v>
      </c>
      <c r="E269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Master'!$F:$F,B269),"")</f>
        <v>0.21099999999999999</v>
      </c>
      <c r="F269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Master'!$F:$F,B269),"")</f>
        <v>7.1999999999999995E-2</v>
      </c>
      <c r="G269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Master'!$F:$F,B269),"")</f>
        <v>143</v>
      </c>
      <c r="H269">
        <f>IF(AND(ISNUMBER(C269),C269&gt;='Bulk Calculator'!U26/('Bulk Calculator'!J26*'Bulk Calculator'!L26)),1,0)</f>
        <v>1</v>
      </c>
      <c r="I269">
        <f>IFERROR(IF(AND(ISNUMBER(E269),ISNUMBER(F269),E269&gt;0,F269&gt;0),SQRT(3)*'Bulk Calculator'!O26*'Bulk Calculator'!AA26*((E269*'Bulk Calculator'!Q26)+(F269*SQRT(1-'Bulk Calculator'!Q26^2)))/'Bulk Calculator'!J26/'Bulk Calculator'!K26*100,D269*'Bulk Calculator'!AA26*'Bulk Calculator'!O26/'Bulk Calculator'!J26/'Bulk Calculator'!K26*100),"")</f>
        <v>0</v>
      </c>
      <c r="J269">
        <f>IFERROR(IF(AND(ISNUMBER(E269),ISNUMBER(F269),E269&gt;0,F269&gt;0),SQRT(3)*'Bulk Calculator'!O26*'Bulk Calculator'!U26*((E269*'Bulk Calculator'!M26)+(F269*SQRT(1-'Bulk Calculator'!M26^2)))/'Bulk Calculator'!J26/'Bulk Calculator'!K26*100,D269*'Bulk Calculator'!U26*'Bulk Calculator'!O26/'Bulk Calculator'!J26/'Bulk Calculator'!K26*100),"")</f>
        <v>0</v>
      </c>
      <c r="K269">
        <f>IFERROR(G269*B269*'Bulk Calculator'!J26/SQRT('Bulk Calculator'!S26)/1000,"")</f>
        <v>59.155178344756941</v>
      </c>
      <c r="L269">
        <f>IF(OR('Bulk Calculator'!R26="",'Bulk Calculator'!S26="",G269=""),0,IF(K269&gt;='Bulk Calculator'!R26,1,0))</f>
        <v>1</v>
      </c>
      <c r="M269">
        <f>IF(AND(H269=1,I269&lt;='OS-DORAEN'!$B$6,J269&lt;='OS-DORAEN'!$B$5,L269=1),1,0)</f>
        <v>1</v>
      </c>
      <c r="N269" t="str">
        <f t="shared" si="4"/>
        <v>R/X</v>
      </c>
    </row>
    <row r="270" spans="1:14" ht="15" customHeight="1" x14ac:dyDescent="0.35">
      <c r="A270">
        <v>26</v>
      </c>
      <c r="B270">
        <v>150</v>
      </c>
      <c r="C270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Master'!$F:$F,B270),"")</f>
        <v>292</v>
      </c>
      <c r="D270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Master'!$F:$F,B270),"")</f>
        <v>0.26500000000000001</v>
      </c>
      <c r="E270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Master'!$F:$F,B270),"")</f>
        <v>0.26500000000000001</v>
      </c>
      <c r="F270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Master'!$F:$F,B270),"")</f>
        <v>7.1999999999999995E-2</v>
      </c>
      <c r="G270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Master'!$F:$F,B270),"")</f>
        <v>143</v>
      </c>
      <c r="H270">
        <f>IF(AND(ISNUMBER(C270),C270&gt;='Bulk Calculator'!U26/('Bulk Calculator'!J26*'Bulk Calculator'!L26)),1,0)</f>
        <v>1</v>
      </c>
      <c r="I270">
        <f>IFERROR(IF(AND(ISNUMBER(E270),ISNUMBER(F270),E270&gt;0,F270&gt;0),SQRT(3)*'Bulk Calculator'!O26*'Bulk Calculator'!AA26*((E270*'Bulk Calculator'!Q26)+(F270*SQRT(1-'Bulk Calculator'!Q26^2)))/'Bulk Calculator'!J26/'Bulk Calculator'!K26*100,D270*'Bulk Calculator'!AA26*'Bulk Calculator'!O26/'Bulk Calculator'!J26/'Bulk Calculator'!K26*100),"")</f>
        <v>0</v>
      </c>
      <c r="J270">
        <f>IFERROR(IF(AND(ISNUMBER(E270),ISNUMBER(F270),E270&gt;0,F270&gt;0),SQRT(3)*'Bulk Calculator'!O26*'Bulk Calculator'!U26*((E270*'Bulk Calculator'!M26)+(F270*SQRT(1-'Bulk Calculator'!M26^2)))/'Bulk Calculator'!J26/'Bulk Calculator'!K26*100,D270*'Bulk Calculator'!U26*'Bulk Calculator'!O26/'Bulk Calculator'!J26/'Bulk Calculator'!K26*100),"")</f>
        <v>0</v>
      </c>
      <c r="K270">
        <f>IFERROR(G270*B270*'Bulk Calculator'!J26/SQRT('Bulk Calculator'!S26)/1000,"")</f>
        <v>47.963658117370493</v>
      </c>
      <c r="L270">
        <f>IF(OR('Bulk Calculator'!R26="",'Bulk Calculator'!S26="",G270=""),0,IF(K270&gt;='Bulk Calculator'!R26,1,0))</f>
        <v>1</v>
      </c>
      <c r="M270">
        <f>IF(AND(H270=1,I270&lt;='OS-DORAEN'!$B$6,J270&lt;='OS-DORAEN'!$B$5,L270=1),1,0)</f>
        <v>1</v>
      </c>
      <c r="N270" t="str">
        <f t="shared" si="4"/>
        <v>R/X</v>
      </c>
    </row>
    <row r="271" spans="1:14" ht="15" customHeight="1" x14ac:dyDescent="0.35">
      <c r="A271">
        <v>26</v>
      </c>
      <c r="B271">
        <v>120</v>
      </c>
      <c r="C271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Master'!$F:$F,B271),"")</f>
        <v>257</v>
      </c>
      <c r="D271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Master'!$F:$F,B271),"")</f>
        <v>0.32500000000000001</v>
      </c>
      <c r="E271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Master'!$F:$F,B271),"")</f>
        <v>0.32500000000000001</v>
      </c>
      <c r="F271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Master'!$F:$F,B271),"")</f>
        <v>7.1999999999999995E-2</v>
      </c>
      <c r="G271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Master'!$F:$F,B271),"")</f>
        <v>143</v>
      </c>
      <c r="H271">
        <f>IF(AND(ISNUMBER(C271),C271&gt;='Bulk Calculator'!U26/('Bulk Calculator'!J26*'Bulk Calculator'!L26)),1,0)</f>
        <v>1</v>
      </c>
      <c r="I271">
        <f>IFERROR(IF(AND(ISNUMBER(E271),ISNUMBER(F271),E271&gt;0,F271&gt;0),SQRT(3)*'Bulk Calculator'!O26*'Bulk Calculator'!AA26*((E271*'Bulk Calculator'!Q26)+(F271*SQRT(1-'Bulk Calculator'!Q26^2)))/'Bulk Calculator'!J26/'Bulk Calculator'!K26*100,D271*'Bulk Calculator'!AA26*'Bulk Calculator'!O26/'Bulk Calculator'!J26/'Bulk Calculator'!K26*100),"")</f>
        <v>0</v>
      </c>
      <c r="J271">
        <f>IFERROR(IF(AND(ISNUMBER(E271),ISNUMBER(F271),E271&gt;0,F271&gt;0),SQRT(3)*'Bulk Calculator'!O26*'Bulk Calculator'!U26*((E271*'Bulk Calculator'!M26)+(F271*SQRT(1-'Bulk Calculator'!M26^2)))/'Bulk Calculator'!J26/'Bulk Calculator'!K26*100,D271*'Bulk Calculator'!U26*'Bulk Calculator'!O26/'Bulk Calculator'!J26/'Bulk Calculator'!K26*100),"")</f>
        <v>0</v>
      </c>
      <c r="K271">
        <f>IFERROR(G271*B271*'Bulk Calculator'!J26/SQRT('Bulk Calculator'!S26)/1000,"")</f>
        <v>38.370926493896391</v>
      </c>
      <c r="L271">
        <f>IF(OR('Bulk Calculator'!R26="",'Bulk Calculator'!S26="",G271=""),0,IF(K271&gt;='Bulk Calculator'!R26,1,0))</f>
        <v>1</v>
      </c>
      <c r="M271">
        <f>IF(AND(H271=1,I271&lt;='OS-DORAEN'!$B$6,J271&lt;='OS-DORAEN'!$B$5,L271=1),1,0)</f>
        <v>1</v>
      </c>
      <c r="N271" t="str">
        <f t="shared" si="4"/>
        <v>R/X</v>
      </c>
    </row>
    <row r="272" spans="1:14" ht="15" customHeight="1" x14ac:dyDescent="0.35">
      <c r="A272">
        <v>26</v>
      </c>
      <c r="B272">
        <v>95</v>
      </c>
      <c r="C272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Master'!$F:$F,B272),"")</f>
        <v>221</v>
      </c>
      <c r="D272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Master'!$F:$F,B272),"")</f>
        <v>0.41</v>
      </c>
      <c r="E272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Master'!$F:$F,B272),"")</f>
        <v>0.41</v>
      </c>
      <c r="F272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Master'!$F:$F,B272),"")</f>
        <v>7.3999999999999996E-2</v>
      </c>
      <c r="G272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Master'!$F:$F,B272),"")</f>
        <v>143</v>
      </c>
      <c r="H272">
        <f>IF(AND(ISNUMBER(C272),C272&gt;='Bulk Calculator'!U26/('Bulk Calculator'!J26*'Bulk Calculator'!L26)),1,0)</f>
        <v>1</v>
      </c>
      <c r="I272">
        <f>IFERROR(IF(AND(ISNUMBER(E272),ISNUMBER(F272),E272&gt;0,F272&gt;0),SQRT(3)*'Bulk Calculator'!O26*'Bulk Calculator'!AA26*((E272*'Bulk Calculator'!Q26)+(F272*SQRT(1-'Bulk Calculator'!Q26^2)))/'Bulk Calculator'!J26/'Bulk Calculator'!K26*100,D272*'Bulk Calculator'!AA26*'Bulk Calculator'!O26/'Bulk Calculator'!J26/'Bulk Calculator'!K26*100),"")</f>
        <v>0</v>
      </c>
      <c r="J272">
        <f>IFERROR(IF(AND(ISNUMBER(E272),ISNUMBER(F272),E272&gt;0,F272&gt;0),SQRT(3)*'Bulk Calculator'!O26*'Bulk Calculator'!U26*((E272*'Bulk Calculator'!M26)+(F272*SQRT(1-'Bulk Calculator'!M26^2)))/'Bulk Calculator'!J26/'Bulk Calculator'!K26*100,D272*'Bulk Calculator'!U26*'Bulk Calculator'!O26/'Bulk Calculator'!J26/'Bulk Calculator'!K26*100),"")</f>
        <v>0</v>
      </c>
      <c r="K272">
        <f>IFERROR(G272*B272*'Bulk Calculator'!J26/SQRT('Bulk Calculator'!S26)/1000,"")</f>
        <v>30.376983474334644</v>
      </c>
      <c r="L272">
        <f>IF(OR('Bulk Calculator'!R26="",'Bulk Calculator'!S26="",G272=""),0,IF(K272&gt;='Bulk Calculator'!R26,1,0))</f>
        <v>1</v>
      </c>
      <c r="M272">
        <f>IF(AND(H272=1,I272&lt;='OS-DORAEN'!$B$6,J272&lt;='OS-DORAEN'!$B$5,L272=1),1,0)</f>
        <v>1</v>
      </c>
      <c r="N272" t="str">
        <f t="shared" si="4"/>
        <v>R/X</v>
      </c>
    </row>
    <row r="273" spans="1:14" ht="15" customHeight="1" x14ac:dyDescent="0.35">
      <c r="A273">
        <v>26</v>
      </c>
      <c r="B273">
        <v>70</v>
      </c>
      <c r="C273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Master'!$F:$F,B273),"")</f>
        <v>179</v>
      </c>
      <c r="D273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Master'!$F:$F,B273),"")</f>
        <v>0.56699999999999995</v>
      </c>
      <c r="E273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Master'!$F:$F,B273),"")</f>
        <v>0.56699999999999995</v>
      </c>
      <c r="F273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Master'!$F:$F,B273),"")</f>
        <v>7.6999999999999999E-2</v>
      </c>
      <c r="G273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Master'!$F:$F,B273),"")</f>
        <v>143</v>
      </c>
      <c r="H273">
        <f>IF(AND(ISNUMBER(C273),C273&gt;='Bulk Calculator'!U26/('Bulk Calculator'!J26*'Bulk Calculator'!L26)),1,0)</f>
        <v>1</v>
      </c>
      <c r="I273">
        <f>IFERROR(IF(AND(ISNUMBER(E273),ISNUMBER(F273),E273&gt;0,F273&gt;0),SQRT(3)*'Bulk Calculator'!O26*'Bulk Calculator'!AA26*((E273*'Bulk Calculator'!Q26)+(F273*SQRT(1-'Bulk Calculator'!Q26^2)))/'Bulk Calculator'!J26/'Bulk Calculator'!K26*100,D273*'Bulk Calculator'!AA26*'Bulk Calculator'!O26/'Bulk Calculator'!J26/'Bulk Calculator'!K26*100),"")</f>
        <v>0</v>
      </c>
      <c r="J273">
        <f>IFERROR(IF(AND(ISNUMBER(E273),ISNUMBER(F273),E273&gt;0,F273&gt;0),SQRT(3)*'Bulk Calculator'!O26*'Bulk Calculator'!U26*((E273*'Bulk Calculator'!M26)+(F273*SQRT(1-'Bulk Calculator'!M26^2)))/'Bulk Calculator'!J26/'Bulk Calculator'!K26*100,D273*'Bulk Calculator'!U26*'Bulk Calculator'!O26/'Bulk Calculator'!J26/'Bulk Calculator'!K26*100),"")</f>
        <v>0</v>
      </c>
      <c r="K273">
        <f>IFERROR(G273*B273*'Bulk Calculator'!J26/SQRT('Bulk Calculator'!S26)/1000,"")</f>
        <v>22.383040454772893</v>
      </c>
      <c r="L273">
        <f>IF(OR('Bulk Calculator'!R26="",'Bulk Calculator'!S26="",G273=""),0,IF(K273&gt;='Bulk Calculator'!R26,1,0))</f>
        <v>1</v>
      </c>
      <c r="M273">
        <f>IF(AND(H273=1,I273&lt;='OS-DORAEN'!$B$6,J273&lt;='OS-DORAEN'!$B$5,L273=1),1,0)</f>
        <v>1</v>
      </c>
      <c r="N273" t="str">
        <f t="shared" si="4"/>
        <v>R/X</v>
      </c>
    </row>
    <row r="274" spans="1:14" ht="15" customHeight="1" x14ac:dyDescent="0.35">
      <c r="A274">
        <v>26</v>
      </c>
      <c r="B274">
        <v>50</v>
      </c>
      <c r="C274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Master'!$F:$F,B274),"")</f>
        <v>142</v>
      </c>
      <c r="D274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Master'!$F:$F,B274),"")</f>
        <v>0.82</v>
      </c>
      <c r="E274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Master'!$F:$F,B274),"")</f>
        <v>0.82</v>
      </c>
      <c r="F274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Master'!$F:$F,B274),"")</f>
        <v>7.8E-2</v>
      </c>
      <c r="G274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Master'!$F:$F,B274),"")</f>
        <v>143</v>
      </c>
      <c r="H274">
        <f>IF(AND(ISNUMBER(C274),C274&gt;='Bulk Calculator'!U26/('Bulk Calculator'!J26*'Bulk Calculator'!L26)),1,0)</f>
        <v>1</v>
      </c>
      <c r="I274">
        <f>IFERROR(IF(AND(ISNUMBER(E274),ISNUMBER(F274),E274&gt;0,F274&gt;0),SQRT(3)*'Bulk Calculator'!O26*'Bulk Calculator'!AA26*((E274*'Bulk Calculator'!Q26)+(F274*SQRT(1-'Bulk Calculator'!Q26^2)))/'Bulk Calculator'!J26/'Bulk Calculator'!K26*100,D274*'Bulk Calculator'!AA26*'Bulk Calculator'!O26/'Bulk Calculator'!J26/'Bulk Calculator'!K26*100),"")</f>
        <v>0</v>
      </c>
      <c r="J274">
        <f>IFERROR(IF(AND(ISNUMBER(E274),ISNUMBER(F274),E274&gt;0,F274&gt;0),SQRT(3)*'Bulk Calculator'!O26*'Bulk Calculator'!U26*((E274*'Bulk Calculator'!M26)+(F274*SQRT(1-'Bulk Calculator'!M26^2)))/'Bulk Calculator'!J26/'Bulk Calculator'!K26*100,D274*'Bulk Calculator'!U26*'Bulk Calculator'!O26/'Bulk Calculator'!J26/'Bulk Calculator'!K26*100),"")</f>
        <v>0</v>
      </c>
      <c r="K274">
        <f>IFERROR(G274*B274*'Bulk Calculator'!J26/SQRT('Bulk Calculator'!S26)/1000,"")</f>
        <v>15.987886039123497</v>
      </c>
      <c r="L274">
        <f>IF(OR('Bulk Calculator'!R26="",'Bulk Calculator'!S26="",G274=""),0,IF(K274&gt;='Bulk Calculator'!R26,1,0))</f>
        <v>1</v>
      </c>
      <c r="M274">
        <f>IF(AND(H274=1,I274&lt;='OS-DORAEN'!$B$6,J274&lt;='OS-DORAEN'!$B$5,L274=1),1,0)</f>
        <v>1</v>
      </c>
      <c r="N274" t="str">
        <f t="shared" si="4"/>
        <v>R/X</v>
      </c>
    </row>
    <row r="275" spans="1:14" ht="15" customHeight="1" x14ac:dyDescent="0.35">
      <c r="A275">
        <v>26</v>
      </c>
      <c r="B275">
        <v>35</v>
      </c>
      <c r="C275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Master'!$F:$F,B275),"")</f>
        <v>117</v>
      </c>
      <c r="D275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Master'!$F:$F,B275),"")</f>
        <v>1.1100000000000001</v>
      </c>
      <c r="E275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Master'!$F:$F,B275),"")</f>
        <v>1.1100000000000001</v>
      </c>
      <c r="F275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Master'!$F:$F,B275),"")</f>
        <v>0.08</v>
      </c>
      <c r="G275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Master'!$F:$F,B275),"")</f>
        <v>143</v>
      </c>
      <c r="H275">
        <f>IF(AND(ISNUMBER(C275),C275&gt;='Bulk Calculator'!U26/('Bulk Calculator'!J26*'Bulk Calculator'!L26)),1,0)</f>
        <v>1</v>
      </c>
      <c r="I275">
        <f>IFERROR(IF(AND(ISNUMBER(E275),ISNUMBER(F275),E275&gt;0,F275&gt;0),SQRT(3)*'Bulk Calculator'!O26*'Bulk Calculator'!AA26*((E275*'Bulk Calculator'!Q26)+(F275*SQRT(1-'Bulk Calculator'!Q26^2)))/'Bulk Calculator'!J26/'Bulk Calculator'!K26*100,D275*'Bulk Calculator'!AA26*'Bulk Calculator'!O26/'Bulk Calculator'!J26/'Bulk Calculator'!K26*100),"")</f>
        <v>0</v>
      </c>
      <c r="J275">
        <f>IFERROR(IF(AND(ISNUMBER(E275),ISNUMBER(F275),E275&gt;0,F275&gt;0),SQRT(3)*'Bulk Calculator'!O26*'Bulk Calculator'!U26*((E275*'Bulk Calculator'!M26)+(F275*SQRT(1-'Bulk Calculator'!M26^2)))/'Bulk Calculator'!J26/'Bulk Calculator'!K26*100,D275*'Bulk Calculator'!U26*'Bulk Calculator'!O26/'Bulk Calculator'!J26/'Bulk Calculator'!K26*100),"")</f>
        <v>0</v>
      </c>
      <c r="K275">
        <f>IFERROR(G275*B275*'Bulk Calculator'!J26/SQRT('Bulk Calculator'!S26)/1000,"")</f>
        <v>11.191520227386446</v>
      </c>
      <c r="L275">
        <f>IF(OR('Bulk Calculator'!R26="",'Bulk Calculator'!S26="",G275=""),0,IF(K275&gt;='Bulk Calculator'!R26,1,0))</f>
        <v>1</v>
      </c>
      <c r="M275">
        <f>IF(AND(H275=1,I275&lt;='OS-DORAEN'!$B$6,J275&lt;='OS-DORAEN'!$B$5,L275=1),1,0)</f>
        <v>1</v>
      </c>
      <c r="N275" t="str">
        <f t="shared" si="4"/>
        <v>R/X</v>
      </c>
    </row>
    <row r="276" spans="1:14" ht="15" customHeight="1" x14ac:dyDescent="0.35">
      <c r="A276">
        <v>26</v>
      </c>
      <c r="B276">
        <v>25</v>
      </c>
      <c r="C276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Master'!$F:$F,B276),"")</f>
        <v>96</v>
      </c>
      <c r="D276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Master'!$F:$F,B276),"")</f>
        <v>1.54</v>
      </c>
      <c r="E276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Master'!$F:$F,B276),"")</f>
        <v>1.54</v>
      </c>
      <c r="F276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Master'!$F:$F,B276),"")</f>
        <v>0.08</v>
      </c>
      <c r="G276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Master'!$F:$F,B276),"")</f>
        <v>143</v>
      </c>
      <c r="H276">
        <f>IF(AND(ISNUMBER(C276),C276&gt;='Bulk Calculator'!U26/('Bulk Calculator'!J26*'Bulk Calculator'!L26)),1,0)</f>
        <v>1</v>
      </c>
      <c r="I276">
        <f>IFERROR(IF(AND(ISNUMBER(E276),ISNUMBER(F276),E276&gt;0,F276&gt;0),SQRT(3)*'Bulk Calculator'!O26*'Bulk Calculator'!AA26*((E276*'Bulk Calculator'!Q26)+(F276*SQRT(1-'Bulk Calculator'!Q26^2)))/'Bulk Calculator'!J26/'Bulk Calculator'!K26*100,D276*'Bulk Calculator'!AA26*'Bulk Calculator'!O26/'Bulk Calculator'!J26/'Bulk Calculator'!K26*100),"")</f>
        <v>0</v>
      </c>
      <c r="J276">
        <f>IFERROR(IF(AND(ISNUMBER(E276),ISNUMBER(F276),E276&gt;0,F276&gt;0),SQRT(3)*'Bulk Calculator'!O26*'Bulk Calculator'!U26*((E276*'Bulk Calculator'!M26)+(F276*SQRT(1-'Bulk Calculator'!M26^2)))/'Bulk Calculator'!J26/'Bulk Calculator'!K26*100,D276*'Bulk Calculator'!U26*'Bulk Calculator'!O26/'Bulk Calculator'!J26/'Bulk Calculator'!K26*100),"")</f>
        <v>0</v>
      </c>
      <c r="K276">
        <f>IFERROR(G276*B276*'Bulk Calculator'!J26/SQRT('Bulk Calculator'!S26)/1000,"")</f>
        <v>7.9939430195617485</v>
      </c>
      <c r="L276">
        <f>IF(OR('Bulk Calculator'!R26="",'Bulk Calculator'!S26="",G276=""),0,IF(K276&gt;='Bulk Calculator'!R26,1,0))</f>
        <v>1</v>
      </c>
      <c r="M276">
        <f>IF(AND(H276=1,I276&lt;='OS-DORAEN'!$B$6,J276&lt;='OS-DORAEN'!$B$5,L276=1),1,0)</f>
        <v>1</v>
      </c>
      <c r="N276" t="str">
        <f t="shared" si="4"/>
        <v>R/X</v>
      </c>
    </row>
    <row r="277" spans="1:14" ht="15" customHeight="1" x14ac:dyDescent="0.35">
      <c r="A277">
        <v>26</v>
      </c>
      <c r="B277">
        <v>16</v>
      </c>
      <c r="C277">
        <f>IFERROR(SUMIFS('Cable Data Master'!$G:$G,'Cable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Master'!$F:$F,B277),"")</f>
        <v>0</v>
      </c>
      <c r="D277">
        <f>IFERROR(SUMIFS('Cable Data Master'!$K:$K,'Cable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Master'!$F:$F,B277),"")</f>
        <v>0</v>
      </c>
      <c r="E277">
        <f>IFERROR(SUMIFS('Cable Data Master'!$H:$H,'Cable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Master'!$F:$F,B277),"")</f>
        <v>0</v>
      </c>
      <c r="F277">
        <f>IFERROR(SUMIFS('Cable Data Master'!$I:$I,'Cable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Master'!$F:$F,B277),"")</f>
        <v>0</v>
      </c>
      <c r="G277">
        <f>IFERROR(SUMIFS('Cable Data Master'!$J:$J,'Cable Data Master'!$A:$A,'Bulk Calculator'!$BF26,'Cable Data Master'!$B:$B,'Bulk Calculator'!$BG26,'Cable Data Master'!$C:$C,'Bulk Calculator'!$BH26,'Cable Data Master'!$D:$D,'Bulk Calculator'!$BI26,'Cable Data Master'!$E:$E,'Bulk Calculator'!$BJ26,'Cable Data Master'!$F:$F,B277),"")</f>
        <v>0</v>
      </c>
      <c r="H277">
        <f>IF(AND(ISNUMBER(C277),C277&gt;='Bulk Calculator'!U26/('Bulk Calculator'!J26*'Bulk Calculator'!L26)),1,0)</f>
        <v>1</v>
      </c>
      <c r="I277">
        <f>IFERROR(IF(AND(ISNUMBER(E277),ISNUMBER(F277),E277&gt;0,F277&gt;0),SQRT(3)*'Bulk Calculator'!O26*'Bulk Calculator'!AA26*((E277*'Bulk Calculator'!Q26)+(F277*SQRT(1-'Bulk Calculator'!Q26^2)))/'Bulk Calculator'!J26/'Bulk Calculator'!K26*100,D277*'Bulk Calculator'!AA26*'Bulk Calculator'!O26/'Bulk Calculator'!J26/'Bulk Calculator'!K26*100),"")</f>
        <v>0</v>
      </c>
      <c r="J277">
        <f>IFERROR(IF(AND(ISNUMBER(E277),ISNUMBER(F277),E277&gt;0,F277&gt;0),SQRT(3)*'Bulk Calculator'!O26*'Bulk Calculator'!U26*((E277*'Bulk Calculator'!M26)+(F277*SQRT(1-'Bulk Calculator'!M26^2)))/'Bulk Calculator'!J26/'Bulk Calculator'!K26*100,D277*'Bulk Calculator'!U26*'Bulk Calculator'!O26/'Bulk Calculator'!J26/'Bulk Calculator'!K26*100),"")</f>
        <v>0</v>
      </c>
      <c r="K277">
        <f>IFERROR(G277*B277*'Bulk Calculator'!J26/SQRT('Bulk Calculator'!S26)/1000,"")</f>
        <v>0</v>
      </c>
      <c r="L277">
        <f>IF(OR('Bulk Calculator'!R26="",'Bulk Calculator'!S26="",G277=""),0,IF(K277&gt;='Bulk Calculator'!R26,1,0))</f>
        <v>1</v>
      </c>
      <c r="M277">
        <f>IF(AND(H277=1,I277&lt;='OS-DORAEN'!$B$6,J277&lt;='OS-DORAEN'!$B$5,L277=1),1,0)</f>
        <v>1</v>
      </c>
      <c r="N277" t="str">
        <f t="shared" si="4"/>
        <v>Manufacturer VD Ref</v>
      </c>
    </row>
    <row r="278" spans="1:14" ht="15" customHeight="1" x14ac:dyDescent="0.35">
      <c r="A278">
        <v>27</v>
      </c>
      <c r="B278">
        <v>400</v>
      </c>
      <c r="C278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Master'!$F:$F,B278),"")</f>
        <v>530</v>
      </c>
      <c r="D278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Master'!$F:$F,B278),"")</f>
        <v>0.1023</v>
      </c>
      <c r="E278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Master'!$F:$F,B278),"")</f>
        <v>0.1023</v>
      </c>
      <c r="F278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Master'!$F:$F,B278),"")</f>
        <v>7.0000000000000007E-2</v>
      </c>
      <c r="G278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Master'!$F:$F,B278),"")</f>
        <v>143</v>
      </c>
      <c r="H278">
        <f>IF(AND(ISNUMBER(C278),C278&gt;='Bulk Calculator'!U27/('Bulk Calculator'!J27*'Bulk Calculator'!L27)),1,0)</f>
        <v>1</v>
      </c>
      <c r="I278">
        <f>IFERROR(IF(AND(ISNUMBER(E278),ISNUMBER(F278),E278&gt;0,F278&gt;0),SQRT(3)*'Bulk Calculator'!O27*'Bulk Calculator'!AA27*((E278*'Bulk Calculator'!Q27)+(F278*SQRT(1-'Bulk Calculator'!Q27^2)))/'Bulk Calculator'!J27/'Bulk Calculator'!K27*100,D278*'Bulk Calculator'!AA27*'Bulk Calculator'!O27/'Bulk Calculator'!J27/'Bulk Calculator'!K27*100),"")</f>
        <v>0</v>
      </c>
      <c r="J278">
        <f>IFERROR(IF(AND(ISNUMBER(E278),ISNUMBER(F278),E278&gt;0,F278&gt;0),SQRT(3)*'Bulk Calculator'!O27*'Bulk Calculator'!U27*((E278*'Bulk Calculator'!M27)+(F278*SQRT(1-'Bulk Calculator'!M27^2)))/'Bulk Calculator'!J27/'Bulk Calculator'!K27*100,D278*'Bulk Calculator'!U27*'Bulk Calculator'!O27/'Bulk Calculator'!J27/'Bulk Calculator'!K27*100),"")</f>
        <v>0</v>
      </c>
      <c r="K278">
        <f>IFERROR(G278*B278*'Bulk Calculator'!J27/SQRT('Bulk Calculator'!S27)/1000,"")</f>
        <v>127.90308831298798</v>
      </c>
      <c r="L278">
        <f>IF(OR('Bulk Calculator'!R27="",'Bulk Calculator'!S27="",G278=""),0,IF(K278&gt;='Bulk Calculator'!R27,1,0))</f>
        <v>1</v>
      </c>
      <c r="M278">
        <f>IF(AND(H278=1,I278&lt;='OS-DORAEN'!$B$6,J278&lt;='OS-DORAEN'!$B$5,L278=1),1,0)</f>
        <v>1</v>
      </c>
      <c r="N278" t="str">
        <f t="shared" si="4"/>
        <v>R/X</v>
      </c>
    </row>
    <row r="279" spans="1:14" ht="15" customHeight="1" x14ac:dyDescent="0.35">
      <c r="A279">
        <v>27</v>
      </c>
      <c r="B279">
        <v>300</v>
      </c>
      <c r="C279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Master'!$F:$F,B279),"")</f>
        <v>455</v>
      </c>
      <c r="D279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Master'!$F:$F,B279),"")</f>
        <v>0.13</v>
      </c>
      <c r="E279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Master'!$F:$F,B279),"")</f>
        <v>0.13</v>
      </c>
      <c r="F279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Master'!$F:$F,B279),"")</f>
        <v>7.0999999999999994E-2</v>
      </c>
      <c r="G279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Master'!$F:$F,B279),"")</f>
        <v>143</v>
      </c>
      <c r="H279">
        <f>IF(AND(ISNUMBER(C279),C279&gt;='Bulk Calculator'!U27/('Bulk Calculator'!J27*'Bulk Calculator'!L27)),1,0)</f>
        <v>1</v>
      </c>
      <c r="I279">
        <f>IFERROR(IF(AND(ISNUMBER(E279),ISNUMBER(F279),E279&gt;0,F279&gt;0),SQRT(3)*'Bulk Calculator'!O27*'Bulk Calculator'!AA27*((E279*'Bulk Calculator'!Q27)+(F279*SQRT(1-'Bulk Calculator'!Q27^2)))/'Bulk Calculator'!J27/'Bulk Calculator'!K27*100,D279*'Bulk Calculator'!AA27*'Bulk Calculator'!O27/'Bulk Calculator'!J27/'Bulk Calculator'!K27*100),"")</f>
        <v>0</v>
      </c>
      <c r="J279">
        <f>IFERROR(IF(AND(ISNUMBER(E279),ISNUMBER(F279),E279&gt;0,F279&gt;0),SQRT(3)*'Bulk Calculator'!O27*'Bulk Calculator'!U27*((E279*'Bulk Calculator'!M27)+(F279*SQRT(1-'Bulk Calculator'!M27^2)))/'Bulk Calculator'!J27/'Bulk Calculator'!K27*100,D279*'Bulk Calculator'!U27*'Bulk Calculator'!O27/'Bulk Calculator'!J27/'Bulk Calculator'!K27*100),"")</f>
        <v>0</v>
      </c>
      <c r="K279">
        <f>IFERROR(G279*B279*'Bulk Calculator'!J27/SQRT('Bulk Calculator'!S27)/1000,"")</f>
        <v>95.927316234740985</v>
      </c>
      <c r="L279">
        <f>IF(OR('Bulk Calculator'!R27="",'Bulk Calculator'!S27="",G279=""),0,IF(K279&gt;='Bulk Calculator'!R27,1,0))</f>
        <v>1</v>
      </c>
      <c r="M279">
        <f>IF(AND(H279=1,I279&lt;='OS-DORAEN'!$B$6,J279&lt;='OS-DORAEN'!$B$5,L279=1),1,0)</f>
        <v>1</v>
      </c>
      <c r="N279" t="str">
        <f t="shared" si="4"/>
        <v>R/X</v>
      </c>
    </row>
    <row r="280" spans="1:14" ht="15" customHeight="1" x14ac:dyDescent="0.35">
      <c r="A280">
        <v>27</v>
      </c>
      <c r="B280">
        <v>240</v>
      </c>
      <c r="C280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Master'!$F:$F,B280),"")</f>
        <v>399</v>
      </c>
      <c r="D280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Master'!$F:$F,B280),"")</f>
        <v>0.16200000000000001</v>
      </c>
      <c r="E280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Master'!$F:$F,B280),"")</f>
        <v>0.16200000000000001</v>
      </c>
      <c r="F280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Master'!$F:$F,B280),"")</f>
        <v>7.1999999999999995E-2</v>
      </c>
      <c r="G280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Master'!$F:$F,B280),"")</f>
        <v>143</v>
      </c>
      <c r="H280">
        <f>IF(AND(ISNUMBER(C280),C280&gt;='Bulk Calculator'!U27/('Bulk Calculator'!J27*'Bulk Calculator'!L27)),1,0)</f>
        <v>1</v>
      </c>
      <c r="I280">
        <f>IFERROR(IF(AND(ISNUMBER(E280),ISNUMBER(F280),E280&gt;0,F280&gt;0),SQRT(3)*'Bulk Calculator'!O27*'Bulk Calculator'!AA27*((E280*'Bulk Calculator'!Q27)+(F280*SQRT(1-'Bulk Calculator'!Q27^2)))/'Bulk Calculator'!J27/'Bulk Calculator'!K27*100,D280*'Bulk Calculator'!AA27*'Bulk Calculator'!O27/'Bulk Calculator'!J27/'Bulk Calculator'!K27*100),"")</f>
        <v>0</v>
      </c>
      <c r="J280">
        <f>IFERROR(IF(AND(ISNUMBER(E280),ISNUMBER(F280),E280&gt;0,F280&gt;0),SQRT(3)*'Bulk Calculator'!O27*'Bulk Calculator'!U27*((E280*'Bulk Calculator'!M27)+(F280*SQRT(1-'Bulk Calculator'!M27^2)))/'Bulk Calculator'!J27/'Bulk Calculator'!K27*100,D280*'Bulk Calculator'!U27*'Bulk Calculator'!O27/'Bulk Calculator'!J27/'Bulk Calculator'!K27*100),"")</f>
        <v>0</v>
      </c>
      <c r="K280">
        <f>IFERROR(G280*B280*'Bulk Calculator'!J27/SQRT('Bulk Calculator'!S27)/1000,"")</f>
        <v>76.741852987792782</v>
      </c>
      <c r="L280">
        <f>IF(OR('Bulk Calculator'!R27="",'Bulk Calculator'!S27="",G280=""),0,IF(K280&gt;='Bulk Calculator'!R27,1,0))</f>
        <v>1</v>
      </c>
      <c r="M280">
        <f>IF(AND(H280=1,I280&lt;='OS-DORAEN'!$B$6,J280&lt;='OS-DORAEN'!$B$5,L280=1),1,0)</f>
        <v>1</v>
      </c>
      <c r="N280" t="str">
        <f t="shared" si="4"/>
        <v>R/X</v>
      </c>
    </row>
    <row r="281" spans="1:14" ht="15" customHeight="1" x14ac:dyDescent="0.35">
      <c r="A281">
        <v>27</v>
      </c>
      <c r="B281">
        <v>185</v>
      </c>
      <c r="C281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Master'!$F:$F,B281),"")</f>
        <v>337</v>
      </c>
      <c r="D281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Master'!$F:$F,B281),"")</f>
        <v>0.21099999999999999</v>
      </c>
      <c r="E281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Master'!$F:$F,B281),"")</f>
        <v>0.21099999999999999</v>
      </c>
      <c r="F281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Master'!$F:$F,B281),"")</f>
        <v>7.1999999999999995E-2</v>
      </c>
      <c r="G281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Master'!$F:$F,B281),"")</f>
        <v>143</v>
      </c>
      <c r="H281">
        <f>IF(AND(ISNUMBER(C281),C281&gt;='Bulk Calculator'!U27/('Bulk Calculator'!J27*'Bulk Calculator'!L27)),1,0)</f>
        <v>1</v>
      </c>
      <c r="I281">
        <f>IFERROR(IF(AND(ISNUMBER(E281),ISNUMBER(F281),E281&gt;0,F281&gt;0),SQRT(3)*'Bulk Calculator'!O27*'Bulk Calculator'!AA27*((E281*'Bulk Calculator'!Q27)+(F281*SQRT(1-'Bulk Calculator'!Q27^2)))/'Bulk Calculator'!J27/'Bulk Calculator'!K27*100,D281*'Bulk Calculator'!AA27*'Bulk Calculator'!O27/'Bulk Calculator'!J27/'Bulk Calculator'!K27*100),"")</f>
        <v>0</v>
      </c>
      <c r="J281">
        <f>IFERROR(IF(AND(ISNUMBER(E281),ISNUMBER(F281),E281&gt;0,F281&gt;0),SQRT(3)*'Bulk Calculator'!O27*'Bulk Calculator'!U27*((E281*'Bulk Calculator'!M27)+(F281*SQRT(1-'Bulk Calculator'!M27^2)))/'Bulk Calculator'!J27/'Bulk Calculator'!K27*100,D281*'Bulk Calculator'!U27*'Bulk Calculator'!O27/'Bulk Calculator'!J27/'Bulk Calculator'!K27*100),"")</f>
        <v>0</v>
      </c>
      <c r="K281">
        <f>IFERROR(G281*B281*'Bulk Calculator'!J27/SQRT('Bulk Calculator'!S27)/1000,"")</f>
        <v>59.155178344756941</v>
      </c>
      <c r="L281">
        <f>IF(OR('Bulk Calculator'!R27="",'Bulk Calculator'!S27="",G281=""),0,IF(K281&gt;='Bulk Calculator'!R27,1,0))</f>
        <v>1</v>
      </c>
      <c r="M281">
        <f>IF(AND(H281=1,I281&lt;='OS-DORAEN'!$B$6,J281&lt;='OS-DORAEN'!$B$5,L281=1),1,0)</f>
        <v>1</v>
      </c>
      <c r="N281" t="str">
        <f t="shared" si="4"/>
        <v>R/X</v>
      </c>
    </row>
    <row r="282" spans="1:14" ht="15" customHeight="1" x14ac:dyDescent="0.35">
      <c r="A282">
        <v>27</v>
      </c>
      <c r="B282">
        <v>150</v>
      </c>
      <c r="C282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Master'!$F:$F,B282),"")</f>
        <v>292</v>
      </c>
      <c r="D282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Master'!$F:$F,B282),"")</f>
        <v>0.26500000000000001</v>
      </c>
      <c r="E282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Master'!$F:$F,B282),"")</f>
        <v>0.26500000000000001</v>
      </c>
      <c r="F282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Master'!$F:$F,B282),"")</f>
        <v>7.1999999999999995E-2</v>
      </c>
      <c r="G282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Master'!$F:$F,B282),"")</f>
        <v>143</v>
      </c>
      <c r="H282">
        <f>IF(AND(ISNUMBER(C282),C282&gt;='Bulk Calculator'!U27/('Bulk Calculator'!J27*'Bulk Calculator'!L27)),1,0)</f>
        <v>1</v>
      </c>
      <c r="I282">
        <f>IFERROR(IF(AND(ISNUMBER(E282),ISNUMBER(F282),E282&gt;0,F282&gt;0),SQRT(3)*'Bulk Calculator'!O27*'Bulk Calculator'!AA27*((E282*'Bulk Calculator'!Q27)+(F282*SQRT(1-'Bulk Calculator'!Q27^2)))/'Bulk Calculator'!J27/'Bulk Calculator'!K27*100,D282*'Bulk Calculator'!AA27*'Bulk Calculator'!O27/'Bulk Calculator'!J27/'Bulk Calculator'!K27*100),"")</f>
        <v>0</v>
      </c>
      <c r="J282">
        <f>IFERROR(IF(AND(ISNUMBER(E282),ISNUMBER(F282),E282&gt;0,F282&gt;0),SQRT(3)*'Bulk Calculator'!O27*'Bulk Calculator'!U27*((E282*'Bulk Calculator'!M27)+(F282*SQRT(1-'Bulk Calculator'!M27^2)))/'Bulk Calculator'!J27/'Bulk Calculator'!K27*100,D282*'Bulk Calculator'!U27*'Bulk Calculator'!O27/'Bulk Calculator'!J27/'Bulk Calculator'!K27*100),"")</f>
        <v>0</v>
      </c>
      <c r="K282">
        <f>IFERROR(G282*B282*'Bulk Calculator'!J27/SQRT('Bulk Calculator'!S27)/1000,"")</f>
        <v>47.963658117370493</v>
      </c>
      <c r="L282">
        <f>IF(OR('Bulk Calculator'!R27="",'Bulk Calculator'!S27="",G282=""),0,IF(K282&gt;='Bulk Calculator'!R27,1,0))</f>
        <v>1</v>
      </c>
      <c r="M282">
        <f>IF(AND(H282=1,I282&lt;='OS-DORAEN'!$B$6,J282&lt;='OS-DORAEN'!$B$5,L282=1),1,0)</f>
        <v>1</v>
      </c>
      <c r="N282" t="str">
        <f t="shared" si="4"/>
        <v>R/X</v>
      </c>
    </row>
    <row r="283" spans="1:14" ht="15" customHeight="1" x14ac:dyDescent="0.35">
      <c r="A283">
        <v>27</v>
      </c>
      <c r="B283">
        <v>120</v>
      </c>
      <c r="C283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Master'!$F:$F,B283),"")</f>
        <v>257</v>
      </c>
      <c r="D283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Master'!$F:$F,B283),"")</f>
        <v>0.32500000000000001</v>
      </c>
      <c r="E283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Master'!$F:$F,B283),"")</f>
        <v>0.32500000000000001</v>
      </c>
      <c r="F283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Master'!$F:$F,B283),"")</f>
        <v>7.1999999999999995E-2</v>
      </c>
      <c r="G283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Master'!$F:$F,B283),"")</f>
        <v>143</v>
      </c>
      <c r="H283">
        <f>IF(AND(ISNUMBER(C283),C283&gt;='Bulk Calculator'!U27/('Bulk Calculator'!J27*'Bulk Calculator'!L27)),1,0)</f>
        <v>1</v>
      </c>
      <c r="I283">
        <f>IFERROR(IF(AND(ISNUMBER(E283),ISNUMBER(F283),E283&gt;0,F283&gt;0),SQRT(3)*'Bulk Calculator'!O27*'Bulk Calculator'!AA27*((E283*'Bulk Calculator'!Q27)+(F283*SQRT(1-'Bulk Calculator'!Q27^2)))/'Bulk Calculator'!J27/'Bulk Calculator'!K27*100,D283*'Bulk Calculator'!AA27*'Bulk Calculator'!O27/'Bulk Calculator'!J27/'Bulk Calculator'!K27*100),"")</f>
        <v>0</v>
      </c>
      <c r="J283">
        <f>IFERROR(IF(AND(ISNUMBER(E283),ISNUMBER(F283),E283&gt;0,F283&gt;0),SQRT(3)*'Bulk Calculator'!O27*'Bulk Calculator'!U27*((E283*'Bulk Calculator'!M27)+(F283*SQRT(1-'Bulk Calculator'!M27^2)))/'Bulk Calculator'!J27/'Bulk Calculator'!K27*100,D283*'Bulk Calculator'!U27*'Bulk Calculator'!O27/'Bulk Calculator'!J27/'Bulk Calculator'!K27*100),"")</f>
        <v>0</v>
      </c>
      <c r="K283">
        <f>IFERROR(G283*B283*'Bulk Calculator'!J27/SQRT('Bulk Calculator'!S27)/1000,"")</f>
        <v>38.370926493896391</v>
      </c>
      <c r="L283">
        <f>IF(OR('Bulk Calculator'!R27="",'Bulk Calculator'!S27="",G283=""),0,IF(K283&gt;='Bulk Calculator'!R27,1,0))</f>
        <v>1</v>
      </c>
      <c r="M283">
        <f>IF(AND(H283=1,I283&lt;='OS-DORAEN'!$B$6,J283&lt;='OS-DORAEN'!$B$5,L283=1),1,0)</f>
        <v>1</v>
      </c>
      <c r="N283" t="str">
        <f t="shared" si="4"/>
        <v>R/X</v>
      </c>
    </row>
    <row r="284" spans="1:14" ht="15" customHeight="1" x14ac:dyDescent="0.35">
      <c r="A284">
        <v>27</v>
      </c>
      <c r="B284">
        <v>95</v>
      </c>
      <c r="C284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Master'!$F:$F,B284),"")</f>
        <v>221</v>
      </c>
      <c r="D284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Master'!$F:$F,B284),"")</f>
        <v>0.41</v>
      </c>
      <c r="E284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Master'!$F:$F,B284),"")</f>
        <v>0.41</v>
      </c>
      <c r="F284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Master'!$F:$F,B284),"")</f>
        <v>7.3999999999999996E-2</v>
      </c>
      <c r="G284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Master'!$F:$F,B284),"")</f>
        <v>143</v>
      </c>
      <c r="H284">
        <f>IF(AND(ISNUMBER(C284),C284&gt;='Bulk Calculator'!U27/('Bulk Calculator'!J27*'Bulk Calculator'!L27)),1,0)</f>
        <v>1</v>
      </c>
      <c r="I284">
        <f>IFERROR(IF(AND(ISNUMBER(E284),ISNUMBER(F284),E284&gt;0,F284&gt;0),SQRT(3)*'Bulk Calculator'!O27*'Bulk Calculator'!AA27*((E284*'Bulk Calculator'!Q27)+(F284*SQRT(1-'Bulk Calculator'!Q27^2)))/'Bulk Calculator'!J27/'Bulk Calculator'!K27*100,D284*'Bulk Calculator'!AA27*'Bulk Calculator'!O27/'Bulk Calculator'!J27/'Bulk Calculator'!K27*100),"")</f>
        <v>0</v>
      </c>
      <c r="J284">
        <f>IFERROR(IF(AND(ISNUMBER(E284),ISNUMBER(F284),E284&gt;0,F284&gt;0),SQRT(3)*'Bulk Calculator'!O27*'Bulk Calculator'!U27*((E284*'Bulk Calculator'!M27)+(F284*SQRT(1-'Bulk Calculator'!M27^2)))/'Bulk Calculator'!J27/'Bulk Calculator'!K27*100,D284*'Bulk Calculator'!U27*'Bulk Calculator'!O27/'Bulk Calculator'!J27/'Bulk Calculator'!K27*100),"")</f>
        <v>0</v>
      </c>
      <c r="K284">
        <f>IFERROR(G284*B284*'Bulk Calculator'!J27/SQRT('Bulk Calculator'!S27)/1000,"")</f>
        <v>30.376983474334644</v>
      </c>
      <c r="L284">
        <f>IF(OR('Bulk Calculator'!R27="",'Bulk Calculator'!S27="",G284=""),0,IF(K284&gt;='Bulk Calculator'!R27,1,0))</f>
        <v>1</v>
      </c>
      <c r="M284">
        <f>IF(AND(H284=1,I284&lt;='OS-DORAEN'!$B$6,J284&lt;='OS-DORAEN'!$B$5,L284=1),1,0)</f>
        <v>1</v>
      </c>
      <c r="N284" t="str">
        <f t="shared" si="4"/>
        <v>R/X</v>
      </c>
    </row>
    <row r="285" spans="1:14" ht="15" customHeight="1" x14ac:dyDescent="0.35">
      <c r="A285">
        <v>27</v>
      </c>
      <c r="B285">
        <v>70</v>
      </c>
      <c r="C285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Master'!$F:$F,B285),"")</f>
        <v>179</v>
      </c>
      <c r="D285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Master'!$F:$F,B285),"")</f>
        <v>0.56699999999999995</v>
      </c>
      <c r="E285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Master'!$F:$F,B285),"")</f>
        <v>0.56699999999999995</v>
      </c>
      <c r="F285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Master'!$F:$F,B285),"")</f>
        <v>7.6999999999999999E-2</v>
      </c>
      <c r="G285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Master'!$F:$F,B285),"")</f>
        <v>143</v>
      </c>
      <c r="H285">
        <f>IF(AND(ISNUMBER(C285),C285&gt;='Bulk Calculator'!U27/('Bulk Calculator'!J27*'Bulk Calculator'!L27)),1,0)</f>
        <v>1</v>
      </c>
      <c r="I285">
        <f>IFERROR(IF(AND(ISNUMBER(E285),ISNUMBER(F285),E285&gt;0,F285&gt;0),SQRT(3)*'Bulk Calculator'!O27*'Bulk Calculator'!AA27*((E285*'Bulk Calculator'!Q27)+(F285*SQRT(1-'Bulk Calculator'!Q27^2)))/'Bulk Calculator'!J27/'Bulk Calculator'!K27*100,D285*'Bulk Calculator'!AA27*'Bulk Calculator'!O27/'Bulk Calculator'!J27/'Bulk Calculator'!K27*100),"")</f>
        <v>0</v>
      </c>
      <c r="J285">
        <f>IFERROR(IF(AND(ISNUMBER(E285),ISNUMBER(F285),E285&gt;0,F285&gt;0),SQRT(3)*'Bulk Calculator'!O27*'Bulk Calculator'!U27*((E285*'Bulk Calculator'!M27)+(F285*SQRT(1-'Bulk Calculator'!M27^2)))/'Bulk Calculator'!J27/'Bulk Calculator'!K27*100,D285*'Bulk Calculator'!U27*'Bulk Calculator'!O27/'Bulk Calculator'!J27/'Bulk Calculator'!K27*100),"")</f>
        <v>0</v>
      </c>
      <c r="K285">
        <f>IFERROR(G285*B285*'Bulk Calculator'!J27/SQRT('Bulk Calculator'!S27)/1000,"")</f>
        <v>22.383040454772893</v>
      </c>
      <c r="L285">
        <f>IF(OR('Bulk Calculator'!R27="",'Bulk Calculator'!S27="",G285=""),0,IF(K285&gt;='Bulk Calculator'!R27,1,0))</f>
        <v>1</v>
      </c>
      <c r="M285">
        <f>IF(AND(H285=1,I285&lt;='OS-DORAEN'!$B$6,J285&lt;='OS-DORAEN'!$B$5,L285=1),1,0)</f>
        <v>1</v>
      </c>
      <c r="N285" t="str">
        <f t="shared" si="4"/>
        <v>R/X</v>
      </c>
    </row>
    <row r="286" spans="1:14" ht="15" customHeight="1" x14ac:dyDescent="0.35">
      <c r="A286">
        <v>27</v>
      </c>
      <c r="B286">
        <v>50</v>
      </c>
      <c r="C286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Master'!$F:$F,B286),"")</f>
        <v>142</v>
      </c>
      <c r="D286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Master'!$F:$F,B286),"")</f>
        <v>0.82</v>
      </c>
      <c r="E286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Master'!$F:$F,B286),"")</f>
        <v>0.82</v>
      </c>
      <c r="F286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Master'!$F:$F,B286),"")</f>
        <v>7.8E-2</v>
      </c>
      <c r="G286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Master'!$F:$F,B286),"")</f>
        <v>143</v>
      </c>
      <c r="H286">
        <f>IF(AND(ISNUMBER(C286),C286&gt;='Bulk Calculator'!U27/('Bulk Calculator'!J27*'Bulk Calculator'!L27)),1,0)</f>
        <v>1</v>
      </c>
      <c r="I286">
        <f>IFERROR(IF(AND(ISNUMBER(E286),ISNUMBER(F286),E286&gt;0,F286&gt;0),SQRT(3)*'Bulk Calculator'!O27*'Bulk Calculator'!AA27*((E286*'Bulk Calculator'!Q27)+(F286*SQRT(1-'Bulk Calculator'!Q27^2)))/'Bulk Calculator'!J27/'Bulk Calculator'!K27*100,D286*'Bulk Calculator'!AA27*'Bulk Calculator'!O27/'Bulk Calculator'!J27/'Bulk Calculator'!K27*100),"")</f>
        <v>0</v>
      </c>
      <c r="J286">
        <f>IFERROR(IF(AND(ISNUMBER(E286),ISNUMBER(F286),E286&gt;0,F286&gt;0),SQRT(3)*'Bulk Calculator'!O27*'Bulk Calculator'!U27*((E286*'Bulk Calculator'!M27)+(F286*SQRT(1-'Bulk Calculator'!M27^2)))/'Bulk Calculator'!J27/'Bulk Calculator'!K27*100,D286*'Bulk Calculator'!U27*'Bulk Calculator'!O27/'Bulk Calculator'!J27/'Bulk Calculator'!K27*100),"")</f>
        <v>0</v>
      </c>
      <c r="K286">
        <f>IFERROR(G286*B286*'Bulk Calculator'!J27/SQRT('Bulk Calculator'!S27)/1000,"")</f>
        <v>15.987886039123497</v>
      </c>
      <c r="L286">
        <f>IF(OR('Bulk Calculator'!R27="",'Bulk Calculator'!S27="",G286=""),0,IF(K286&gt;='Bulk Calculator'!R27,1,0))</f>
        <v>1</v>
      </c>
      <c r="M286">
        <f>IF(AND(H286=1,I286&lt;='OS-DORAEN'!$B$6,J286&lt;='OS-DORAEN'!$B$5,L286=1),1,0)</f>
        <v>1</v>
      </c>
      <c r="N286" t="str">
        <f t="shared" si="4"/>
        <v>R/X</v>
      </c>
    </row>
    <row r="287" spans="1:14" ht="15" customHeight="1" x14ac:dyDescent="0.35">
      <c r="A287">
        <v>27</v>
      </c>
      <c r="B287">
        <v>35</v>
      </c>
      <c r="C287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Master'!$F:$F,B287),"")</f>
        <v>117</v>
      </c>
      <c r="D287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Master'!$F:$F,B287),"")</f>
        <v>1.1100000000000001</v>
      </c>
      <c r="E287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Master'!$F:$F,B287),"")</f>
        <v>1.1100000000000001</v>
      </c>
      <c r="F287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Master'!$F:$F,B287),"")</f>
        <v>0.08</v>
      </c>
      <c r="G287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Master'!$F:$F,B287),"")</f>
        <v>143</v>
      </c>
      <c r="H287">
        <f>IF(AND(ISNUMBER(C287),C287&gt;='Bulk Calculator'!U27/('Bulk Calculator'!J27*'Bulk Calculator'!L27)),1,0)</f>
        <v>1</v>
      </c>
      <c r="I287">
        <f>IFERROR(IF(AND(ISNUMBER(E287),ISNUMBER(F287),E287&gt;0,F287&gt;0),SQRT(3)*'Bulk Calculator'!O27*'Bulk Calculator'!AA27*((E287*'Bulk Calculator'!Q27)+(F287*SQRT(1-'Bulk Calculator'!Q27^2)))/'Bulk Calculator'!J27/'Bulk Calculator'!K27*100,D287*'Bulk Calculator'!AA27*'Bulk Calculator'!O27/'Bulk Calculator'!J27/'Bulk Calculator'!K27*100),"")</f>
        <v>0</v>
      </c>
      <c r="J287">
        <f>IFERROR(IF(AND(ISNUMBER(E287),ISNUMBER(F287),E287&gt;0,F287&gt;0),SQRT(3)*'Bulk Calculator'!O27*'Bulk Calculator'!U27*((E287*'Bulk Calculator'!M27)+(F287*SQRT(1-'Bulk Calculator'!M27^2)))/'Bulk Calculator'!J27/'Bulk Calculator'!K27*100,D287*'Bulk Calculator'!U27*'Bulk Calculator'!O27/'Bulk Calculator'!J27/'Bulk Calculator'!K27*100),"")</f>
        <v>0</v>
      </c>
      <c r="K287">
        <f>IFERROR(G287*B287*'Bulk Calculator'!J27/SQRT('Bulk Calculator'!S27)/1000,"")</f>
        <v>11.191520227386446</v>
      </c>
      <c r="L287">
        <f>IF(OR('Bulk Calculator'!R27="",'Bulk Calculator'!S27="",G287=""),0,IF(K287&gt;='Bulk Calculator'!R27,1,0))</f>
        <v>1</v>
      </c>
      <c r="M287">
        <f>IF(AND(H287=1,I287&lt;='OS-DORAEN'!$B$6,J287&lt;='OS-DORAEN'!$B$5,L287=1),1,0)</f>
        <v>1</v>
      </c>
      <c r="N287" t="str">
        <f t="shared" si="4"/>
        <v>R/X</v>
      </c>
    </row>
    <row r="288" spans="1:14" ht="15" customHeight="1" x14ac:dyDescent="0.35">
      <c r="A288">
        <v>27</v>
      </c>
      <c r="B288">
        <v>25</v>
      </c>
      <c r="C288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Master'!$F:$F,B288),"")</f>
        <v>96</v>
      </c>
      <c r="D288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Master'!$F:$F,B288),"")</f>
        <v>1.54</v>
      </c>
      <c r="E288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Master'!$F:$F,B288),"")</f>
        <v>1.54</v>
      </c>
      <c r="F288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Master'!$F:$F,B288),"")</f>
        <v>0.08</v>
      </c>
      <c r="G288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Master'!$F:$F,B288),"")</f>
        <v>143</v>
      </c>
      <c r="H288">
        <f>IF(AND(ISNUMBER(C288),C288&gt;='Bulk Calculator'!U27/('Bulk Calculator'!J27*'Bulk Calculator'!L27)),1,0)</f>
        <v>1</v>
      </c>
      <c r="I288">
        <f>IFERROR(IF(AND(ISNUMBER(E288),ISNUMBER(F288),E288&gt;0,F288&gt;0),SQRT(3)*'Bulk Calculator'!O27*'Bulk Calculator'!AA27*((E288*'Bulk Calculator'!Q27)+(F288*SQRT(1-'Bulk Calculator'!Q27^2)))/'Bulk Calculator'!J27/'Bulk Calculator'!K27*100,D288*'Bulk Calculator'!AA27*'Bulk Calculator'!O27/'Bulk Calculator'!J27/'Bulk Calculator'!K27*100),"")</f>
        <v>0</v>
      </c>
      <c r="J288">
        <f>IFERROR(IF(AND(ISNUMBER(E288),ISNUMBER(F288),E288&gt;0,F288&gt;0),SQRT(3)*'Bulk Calculator'!O27*'Bulk Calculator'!U27*((E288*'Bulk Calculator'!M27)+(F288*SQRT(1-'Bulk Calculator'!M27^2)))/'Bulk Calculator'!J27/'Bulk Calculator'!K27*100,D288*'Bulk Calculator'!U27*'Bulk Calculator'!O27/'Bulk Calculator'!J27/'Bulk Calculator'!K27*100),"")</f>
        <v>0</v>
      </c>
      <c r="K288">
        <f>IFERROR(G288*B288*'Bulk Calculator'!J27/SQRT('Bulk Calculator'!S27)/1000,"")</f>
        <v>7.9939430195617485</v>
      </c>
      <c r="L288">
        <f>IF(OR('Bulk Calculator'!R27="",'Bulk Calculator'!S27="",G288=""),0,IF(K288&gt;='Bulk Calculator'!R27,1,0))</f>
        <v>1</v>
      </c>
      <c r="M288">
        <f>IF(AND(H288=1,I288&lt;='OS-DORAEN'!$B$6,J288&lt;='OS-DORAEN'!$B$5,L288=1),1,0)</f>
        <v>1</v>
      </c>
      <c r="N288" t="str">
        <f t="shared" si="4"/>
        <v>R/X</v>
      </c>
    </row>
    <row r="289" spans="1:14" ht="15" customHeight="1" x14ac:dyDescent="0.35">
      <c r="A289">
        <v>27</v>
      </c>
      <c r="B289">
        <v>16</v>
      </c>
      <c r="C289">
        <f>IFERROR(SUMIFS('Cable Data Master'!$G:$G,'Cable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Master'!$F:$F,B289),"")</f>
        <v>0</v>
      </c>
      <c r="D289">
        <f>IFERROR(SUMIFS('Cable Data Master'!$K:$K,'Cable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Master'!$F:$F,B289),"")</f>
        <v>0</v>
      </c>
      <c r="E289">
        <f>IFERROR(SUMIFS('Cable Data Master'!$H:$H,'Cable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Master'!$F:$F,B289),"")</f>
        <v>0</v>
      </c>
      <c r="F289">
        <f>IFERROR(SUMIFS('Cable Data Master'!$I:$I,'Cable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Master'!$F:$F,B289),"")</f>
        <v>0</v>
      </c>
      <c r="G289">
        <f>IFERROR(SUMIFS('Cable Data Master'!$J:$J,'Cable Data Master'!$A:$A,'Bulk Calculator'!$BF27,'Cable Data Master'!$B:$B,'Bulk Calculator'!$BG27,'Cable Data Master'!$C:$C,'Bulk Calculator'!$BH27,'Cable Data Master'!$D:$D,'Bulk Calculator'!$BI27,'Cable Data Master'!$E:$E,'Bulk Calculator'!$BJ27,'Cable Data Master'!$F:$F,B289),"")</f>
        <v>0</v>
      </c>
      <c r="H289">
        <f>IF(AND(ISNUMBER(C289),C289&gt;='Bulk Calculator'!U27/('Bulk Calculator'!J27*'Bulk Calculator'!L27)),1,0)</f>
        <v>1</v>
      </c>
      <c r="I289">
        <f>IFERROR(IF(AND(ISNUMBER(E289),ISNUMBER(F289),E289&gt;0,F289&gt;0),SQRT(3)*'Bulk Calculator'!O27*'Bulk Calculator'!AA27*((E289*'Bulk Calculator'!Q27)+(F289*SQRT(1-'Bulk Calculator'!Q27^2)))/'Bulk Calculator'!J27/'Bulk Calculator'!K27*100,D289*'Bulk Calculator'!AA27*'Bulk Calculator'!O27/'Bulk Calculator'!J27/'Bulk Calculator'!K27*100),"")</f>
        <v>0</v>
      </c>
      <c r="J289">
        <f>IFERROR(IF(AND(ISNUMBER(E289),ISNUMBER(F289),E289&gt;0,F289&gt;0),SQRT(3)*'Bulk Calculator'!O27*'Bulk Calculator'!U27*((E289*'Bulk Calculator'!M27)+(F289*SQRT(1-'Bulk Calculator'!M27^2)))/'Bulk Calculator'!J27/'Bulk Calculator'!K27*100,D289*'Bulk Calculator'!U27*'Bulk Calculator'!O27/'Bulk Calculator'!J27/'Bulk Calculator'!K27*100),"")</f>
        <v>0</v>
      </c>
      <c r="K289">
        <f>IFERROR(G289*B289*'Bulk Calculator'!J27/SQRT('Bulk Calculator'!S27)/1000,"")</f>
        <v>0</v>
      </c>
      <c r="L289">
        <f>IF(OR('Bulk Calculator'!R27="",'Bulk Calculator'!S27="",G289=""),0,IF(K289&gt;='Bulk Calculator'!R27,1,0))</f>
        <v>1</v>
      </c>
      <c r="M289">
        <f>IF(AND(H289=1,I289&lt;='OS-DORAEN'!$B$6,J289&lt;='OS-DORAEN'!$B$5,L289=1),1,0)</f>
        <v>1</v>
      </c>
      <c r="N289" t="str">
        <f t="shared" si="4"/>
        <v>Manufacturer VD Ref</v>
      </c>
    </row>
    <row r="290" spans="1:14" ht="15" customHeight="1" x14ac:dyDescent="0.35">
      <c r="A290">
        <v>28</v>
      </c>
      <c r="B290">
        <v>400</v>
      </c>
      <c r="C290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Master'!$F:$F,B290),"")</f>
        <v>530</v>
      </c>
      <c r="D290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Master'!$F:$F,B290),"")</f>
        <v>0.1023</v>
      </c>
      <c r="E290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Master'!$F:$F,B290),"")</f>
        <v>0.1023</v>
      </c>
      <c r="F290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Master'!$F:$F,B290),"")</f>
        <v>7.0000000000000007E-2</v>
      </c>
      <c r="G290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Master'!$F:$F,B290),"")</f>
        <v>143</v>
      </c>
      <c r="H290">
        <f>IF(AND(ISNUMBER(C290),C290&gt;='Bulk Calculator'!U28/('Bulk Calculator'!J28*'Bulk Calculator'!L28)),1,0)</f>
        <v>1</v>
      </c>
      <c r="I290">
        <f>IFERROR(IF(AND(ISNUMBER(E290),ISNUMBER(F290),E290&gt;0,F290&gt;0),SQRT(3)*'Bulk Calculator'!O28*'Bulk Calculator'!AA28*((E290*'Bulk Calculator'!Q28)+(F290*SQRT(1-'Bulk Calculator'!Q28^2)))/'Bulk Calculator'!J28/'Bulk Calculator'!K28*100,D290*'Bulk Calculator'!AA28*'Bulk Calculator'!O28/'Bulk Calculator'!J28/'Bulk Calculator'!K28*100),"")</f>
        <v>0</v>
      </c>
      <c r="J290">
        <f>IFERROR(IF(AND(ISNUMBER(E290),ISNUMBER(F290),E290&gt;0,F290&gt;0),SQRT(3)*'Bulk Calculator'!O28*'Bulk Calculator'!U28*((E290*'Bulk Calculator'!M28)+(F290*SQRT(1-'Bulk Calculator'!M28^2)))/'Bulk Calculator'!J28/'Bulk Calculator'!K28*100,D290*'Bulk Calculator'!U28*'Bulk Calculator'!O28/'Bulk Calculator'!J28/'Bulk Calculator'!K28*100),"")</f>
        <v>0</v>
      </c>
      <c r="K290">
        <f>IFERROR(G290*B290*'Bulk Calculator'!J28/SQRT('Bulk Calculator'!S28)/1000,"")</f>
        <v>127.90308831298798</v>
      </c>
      <c r="L290">
        <f>IF(OR('Bulk Calculator'!R28="",'Bulk Calculator'!S28="",G290=""),0,IF(K290&gt;='Bulk Calculator'!R28,1,0))</f>
        <v>1</v>
      </c>
      <c r="M290">
        <f>IF(AND(H290=1,I290&lt;='OS-DORAEN'!$B$6,J290&lt;='OS-DORAEN'!$B$5,L290=1),1,0)</f>
        <v>1</v>
      </c>
      <c r="N290" t="str">
        <f t="shared" si="4"/>
        <v>R/X</v>
      </c>
    </row>
    <row r="291" spans="1:14" ht="15" customHeight="1" x14ac:dyDescent="0.35">
      <c r="A291">
        <v>28</v>
      </c>
      <c r="B291">
        <v>300</v>
      </c>
      <c r="C291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Master'!$F:$F,B291),"")</f>
        <v>455</v>
      </c>
      <c r="D291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Master'!$F:$F,B291),"")</f>
        <v>0.13</v>
      </c>
      <c r="E291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Master'!$F:$F,B291),"")</f>
        <v>0.13</v>
      </c>
      <c r="F291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Master'!$F:$F,B291),"")</f>
        <v>7.0999999999999994E-2</v>
      </c>
      <c r="G291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Master'!$F:$F,B291),"")</f>
        <v>143</v>
      </c>
      <c r="H291">
        <f>IF(AND(ISNUMBER(C291),C291&gt;='Bulk Calculator'!U28/('Bulk Calculator'!J28*'Bulk Calculator'!L28)),1,0)</f>
        <v>1</v>
      </c>
      <c r="I291">
        <f>IFERROR(IF(AND(ISNUMBER(E291),ISNUMBER(F291),E291&gt;0,F291&gt;0),SQRT(3)*'Bulk Calculator'!O28*'Bulk Calculator'!AA28*((E291*'Bulk Calculator'!Q28)+(F291*SQRT(1-'Bulk Calculator'!Q28^2)))/'Bulk Calculator'!J28/'Bulk Calculator'!K28*100,D291*'Bulk Calculator'!AA28*'Bulk Calculator'!O28/'Bulk Calculator'!J28/'Bulk Calculator'!K28*100),"")</f>
        <v>0</v>
      </c>
      <c r="J291">
        <f>IFERROR(IF(AND(ISNUMBER(E291),ISNUMBER(F291),E291&gt;0,F291&gt;0),SQRT(3)*'Bulk Calculator'!O28*'Bulk Calculator'!U28*((E291*'Bulk Calculator'!M28)+(F291*SQRT(1-'Bulk Calculator'!M28^2)))/'Bulk Calculator'!J28/'Bulk Calculator'!K28*100,D291*'Bulk Calculator'!U28*'Bulk Calculator'!O28/'Bulk Calculator'!J28/'Bulk Calculator'!K28*100),"")</f>
        <v>0</v>
      </c>
      <c r="K291">
        <f>IFERROR(G291*B291*'Bulk Calculator'!J28/SQRT('Bulk Calculator'!S28)/1000,"")</f>
        <v>95.927316234740985</v>
      </c>
      <c r="L291">
        <f>IF(OR('Bulk Calculator'!R28="",'Bulk Calculator'!S28="",G291=""),0,IF(K291&gt;='Bulk Calculator'!R28,1,0))</f>
        <v>1</v>
      </c>
      <c r="M291">
        <f>IF(AND(H291=1,I291&lt;='OS-DORAEN'!$B$6,J291&lt;='OS-DORAEN'!$B$5,L291=1),1,0)</f>
        <v>1</v>
      </c>
      <c r="N291" t="str">
        <f t="shared" si="4"/>
        <v>R/X</v>
      </c>
    </row>
    <row r="292" spans="1:14" ht="15" customHeight="1" x14ac:dyDescent="0.35">
      <c r="A292">
        <v>28</v>
      </c>
      <c r="B292">
        <v>240</v>
      </c>
      <c r="C292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Master'!$F:$F,B292),"")</f>
        <v>399</v>
      </c>
      <c r="D292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Master'!$F:$F,B292),"")</f>
        <v>0.16200000000000001</v>
      </c>
      <c r="E292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Master'!$F:$F,B292),"")</f>
        <v>0.16200000000000001</v>
      </c>
      <c r="F292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Master'!$F:$F,B292),"")</f>
        <v>7.1999999999999995E-2</v>
      </c>
      <c r="G292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Master'!$F:$F,B292),"")</f>
        <v>143</v>
      </c>
      <c r="H292">
        <f>IF(AND(ISNUMBER(C292),C292&gt;='Bulk Calculator'!U28/('Bulk Calculator'!J28*'Bulk Calculator'!L28)),1,0)</f>
        <v>1</v>
      </c>
      <c r="I292">
        <f>IFERROR(IF(AND(ISNUMBER(E292),ISNUMBER(F292),E292&gt;0,F292&gt;0),SQRT(3)*'Bulk Calculator'!O28*'Bulk Calculator'!AA28*((E292*'Bulk Calculator'!Q28)+(F292*SQRT(1-'Bulk Calculator'!Q28^2)))/'Bulk Calculator'!J28/'Bulk Calculator'!K28*100,D292*'Bulk Calculator'!AA28*'Bulk Calculator'!O28/'Bulk Calculator'!J28/'Bulk Calculator'!K28*100),"")</f>
        <v>0</v>
      </c>
      <c r="J292">
        <f>IFERROR(IF(AND(ISNUMBER(E292),ISNUMBER(F292),E292&gt;0,F292&gt;0),SQRT(3)*'Bulk Calculator'!O28*'Bulk Calculator'!U28*((E292*'Bulk Calculator'!M28)+(F292*SQRT(1-'Bulk Calculator'!M28^2)))/'Bulk Calculator'!J28/'Bulk Calculator'!K28*100,D292*'Bulk Calculator'!U28*'Bulk Calculator'!O28/'Bulk Calculator'!J28/'Bulk Calculator'!K28*100),"")</f>
        <v>0</v>
      </c>
      <c r="K292">
        <f>IFERROR(G292*B292*'Bulk Calculator'!J28/SQRT('Bulk Calculator'!S28)/1000,"")</f>
        <v>76.741852987792782</v>
      </c>
      <c r="L292">
        <f>IF(OR('Bulk Calculator'!R28="",'Bulk Calculator'!S28="",G292=""),0,IF(K292&gt;='Bulk Calculator'!R28,1,0))</f>
        <v>1</v>
      </c>
      <c r="M292">
        <f>IF(AND(H292=1,I292&lt;='OS-DORAEN'!$B$6,J292&lt;='OS-DORAEN'!$B$5,L292=1),1,0)</f>
        <v>1</v>
      </c>
      <c r="N292" t="str">
        <f t="shared" si="4"/>
        <v>R/X</v>
      </c>
    </row>
    <row r="293" spans="1:14" ht="15" customHeight="1" x14ac:dyDescent="0.35">
      <c r="A293">
        <v>28</v>
      </c>
      <c r="B293">
        <v>185</v>
      </c>
      <c r="C293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Master'!$F:$F,B293),"")</f>
        <v>337</v>
      </c>
      <c r="D293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Master'!$F:$F,B293),"")</f>
        <v>0.21099999999999999</v>
      </c>
      <c r="E293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Master'!$F:$F,B293),"")</f>
        <v>0.21099999999999999</v>
      </c>
      <c r="F293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Master'!$F:$F,B293),"")</f>
        <v>7.1999999999999995E-2</v>
      </c>
      <c r="G293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Master'!$F:$F,B293),"")</f>
        <v>143</v>
      </c>
      <c r="H293">
        <f>IF(AND(ISNUMBER(C293),C293&gt;='Bulk Calculator'!U28/('Bulk Calculator'!J28*'Bulk Calculator'!L28)),1,0)</f>
        <v>1</v>
      </c>
      <c r="I293">
        <f>IFERROR(IF(AND(ISNUMBER(E293),ISNUMBER(F293),E293&gt;0,F293&gt;0),SQRT(3)*'Bulk Calculator'!O28*'Bulk Calculator'!AA28*((E293*'Bulk Calculator'!Q28)+(F293*SQRT(1-'Bulk Calculator'!Q28^2)))/'Bulk Calculator'!J28/'Bulk Calculator'!K28*100,D293*'Bulk Calculator'!AA28*'Bulk Calculator'!O28/'Bulk Calculator'!J28/'Bulk Calculator'!K28*100),"")</f>
        <v>0</v>
      </c>
      <c r="J293">
        <f>IFERROR(IF(AND(ISNUMBER(E293),ISNUMBER(F293),E293&gt;0,F293&gt;0),SQRT(3)*'Bulk Calculator'!O28*'Bulk Calculator'!U28*((E293*'Bulk Calculator'!M28)+(F293*SQRT(1-'Bulk Calculator'!M28^2)))/'Bulk Calculator'!J28/'Bulk Calculator'!K28*100,D293*'Bulk Calculator'!U28*'Bulk Calculator'!O28/'Bulk Calculator'!J28/'Bulk Calculator'!K28*100),"")</f>
        <v>0</v>
      </c>
      <c r="K293">
        <f>IFERROR(G293*B293*'Bulk Calculator'!J28/SQRT('Bulk Calculator'!S28)/1000,"")</f>
        <v>59.155178344756941</v>
      </c>
      <c r="L293">
        <f>IF(OR('Bulk Calculator'!R28="",'Bulk Calculator'!S28="",G293=""),0,IF(K293&gt;='Bulk Calculator'!R28,1,0))</f>
        <v>1</v>
      </c>
      <c r="M293">
        <f>IF(AND(H293=1,I293&lt;='OS-DORAEN'!$B$6,J293&lt;='OS-DORAEN'!$B$5,L293=1),1,0)</f>
        <v>1</v>
      </c>
      <c r="N293" t="str">
        <f t="shared" si="4"/>
        <v>R/X</v>
      </c>
    </row>
    <row r="294" spans="1:14" ht="15" customHeight="1" x14ac:dyDescent="0.35">
      <c r="A294">
        <v>28</v>
      </c>
      <c r="B294">
        <v>150</v>
      </c>
      <c r="C294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Master'!$F:$F,B294),"")</f>
        <v>292</v>
      </c>
      <c r="D294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Master'!$F:$F,B294),"")</f>
        <v>0.26500000000000001</v>
      </c>
      <c r="E294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Master'!$F:$F,B294),"")</f>
        <v>0.26500000000000001</v>
      </c>
      <c r="F294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Master'!$F:$F,B294),"")</f>
        <v>7.1999999999999995E-2</v>
      </c>
      <c r="G294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Master'!$F:$F,B294),"")</f>
        <v>143</v>
      </c>
      <c r="H294">
        <f>IF(AND(ISNUMBER(C294),C294&gt;='Bulk Calculator'!U28/('Bulk Calculator'!J28*'Bulk Calculator'!L28)),1,0)</f>
        <v>1</v>
      </c>
      <c r="I294">
        <f>IFERROR(IF(AND(ISNUMBER(E294),ISNUMBER(F294),E294&gt;0,F294&gt;0),SQRT(3)*'Bulk Calculator'!O28*'Bulk Calculator'!AA28*((E294*'Bulk Calculator'!Q28)+(F294*SQRT(1-'Bulk Calculator'!Q28^2)))/'Bulk Calculator'!J28/'Bulk Calculator'!K28*100,D294*'Bulk Calculator'!AA28*'Bulk Calculator'!O28/'Bulk Calculator'!J28/'Bulk Calculator'!K28*100),"")</f>
        <v>0</v>
      </c>
      <c r="J294">
        <f>IFERROR(IF(AND(ISNUMBER(E294),ISNUMBER(F294),E294&gt;0,F294&gt;0),SQRT(3)*'Bulk Calculator'!O28*'Bulk Calculator'!U28*((E294*'Bulk Calculator'!M28)+(F294*SQRT(1-'Bulk Calculator'!M28^2)))/'Bulk Calculator'!J28/'Bulk Calculator'!K28*100,D294*'Bulk Calculator'!U28*'Bulk Calculator'!O28/'Bulk Calculator'!J28/'Bulk Calculator'!K28*100),"")</f>
        <v>0</v>
      </c>
      <c r="K294">
        <f>IFERROR(G294*B294*'Bulk Calculator'!J28/SQRT('Bulk Calculator'!S28)/1000,"")</f>
        <v>47.963658117370493</v>
      </c>
      <c r="L294">
        <f>IF(OR('Bulk Calculator'!R28="",'Bulk Calculator'!S28="",G294=""),0,IF(K294&gt;='Bulk Calculator'!R28,1,0))</f>
        <v>1</v>
      </c>
      <c r="M294">
        <f>IF(AND(H294=1,I294&lt;='OS-DORAEN'!$B$6,J294&lt;='OS-DORAEN'!$B$5,L294=1),1,0)</f>
        <v>1</v>
      </c>
      <c r="N294" t="str">
        <f t="shared" si="4"/>
        <v>R/X</v>
      </c>
    </row>
    <row r="295" spans="1:14" ht="15" customHeight="1" x14ac:dyDescent="0.35">
      <c r="A295">
        <v>28</v>
      </c>
      <c r="B295">
        <v>120</v>
      </c>
      <c r="C295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Master'!$F:$F,B295),"")</f>
        <v>257</v>
      </c>
      <c r="D295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Master'!$F:$F,B295),"")</f>
        <v>0.32500000000000001</v>
      </c>
      <c r="E295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Master'!$F:$F,B295),"")</f>
        <v>0.32500000000000001</v>
      </c>
      <c r="F295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Master'!$F:$F,B295),"")</f>
        <v>7.1999999999999995E-2</v>
      </c>
      <c r="G295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Master'!$F:$F,B295),"")</f>
        <v>143</v>
      </c>
      <c r="H295">
        <f>IF(AND(ISNUMBER(C295),C295&gt;='Bulk Calculator'!U28/('Bulk Calculator'!J28*'Bulk Calculator'!L28)),1,0)</f>
        <v>1</v>
      </c>
      <c r="I295">
        <f>IFERROR(IF(AND(ISNUMBER(E295),ISNUMBER(F295),E295&gt;0,F295&gt;0),SQRT(3)*'Bulk Calculator'!O28*'Bulk Calculator'!AA28*((E295*'Bulk Calculator'!Q28)+(F295*SQRT(1-'Bulk Calculator'!Q28^2)))/'Bulk Calculator'!J28/'Bulk Calculator'!K28*100,D295*'Bulk Calculator'!AA28*'Bulk Calculator'!O28/'Bulk Calculator'!J28/'Bulk Calculator'!K28*100),"")</f>
        <v>0</v>
      </c>
      <c r="J295">
        <f>IFERROR(IF(AND(ISNUMBER(E295),ISNUMBER(F295),E295&gt;0,F295&gt;0),SQRT(3)*'Bulk Calculator'!O28*'Bulk Calculator'!U28*((E295*'Bulk Calculator'!M28)+(F295*SQRT(1-'Bulk Calculator'!M28^2)))/'Bulk Calculator'!J28/'Bulk Calculator'!K28*100,D295*'Bulk Calculator'!U28*'Bulk Calculator'!O28/'Bulk Calculator'!J28/'Bulk Calculator'!K28*100),"")</f>
        <v>0</v>
      </c>
      <c r="K295">
        <f>IFERROR(G295*B295*'Bulk Calculator'!J28/SQRT('Bulk Calculator'!S28)/1000,"")</f>
        <v>38.370926493896391</v>
      </c>
      <c r="L295">
        <f>IF(OR('Bulk Calculator'!R28="",'Bulk Calculator'!S28="",G295=""),0,IF(K295&gt;='Bulk Calculator'!R28,1,0))</f>
        <v>1</v>
      </c>
      <c r="M295">
        <f>IF(AND(H295=1,I295&lt;='OS-DORAEN'!$B$6,J295&lt;='OS-DORAEN'!$B$5,L295=1),1,0)</f>
        <v>1</v>
      </c>
      <c r="N295" t="str">
        <f t="shared" si="4"/>
        <v>R/X</v>
      </c>
    </row>
    <row r="296" spans="1:14" ht="15" customHeight="1" x14ac:dyDescent="0.35">
      <c r="A296">
        <v>28</v>
      </c>
      <c r="B296">
        <v>95</v>
      </c>
      <c r="C296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Master'!$F:$F,B296),"")</f>
        <v>221</v>
      </c>
      <c r="D296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Master'!$F:$F,B296),"")</f>
        <v>0.41</v>
      </c>
      <c r="E296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Master'!$F:$F,B296),"")</f>
        <v>0.41</v>
      </c>
      <c r="F296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Master'!$F:$F,B296),"")</f>
        <v>7.3999999999999996E-2</v>
      </c>
      <c r="G296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Master'!$F:$F,B296),"")</f>
        <v>143</v>
      </c>
      <c r="H296">
        <f>IF(AND(ISNUMBER(C296),C296&gt;='Bulk Calculator'!U28/('Bulk Calculator'!J28*'Bulk Calculator'!L28)),1,0)</f>
        <v>1</v>
      </c>
      <c r="I296">
        <f>IFERROR(IF(AND(ISNUMBER(E296),ISNUMBER(F296),E296&gt;0,F296&gt;0),SQRT(3)*'Bulk Calculator'!O28*'Bulk Calculator'!AA28*((E296*'Bulk Calculator'!Q28)+(F296*SQRT(1-'Bulk Calculator'!Q28^2)))/'Bulk Calculator'!J28/'Bulk Calculator'!K28*100,D296*'Bulk Calculator'!AA28*'Bulk Calculator'!O28/'Bulk Calculator'!J28/'Bulk Calculator'!K28*100),"")</f>
        <v>0</v>
      </c>
      <c r="J296">
        <f>IFERROR(IF(AND(ISNUMBER(E296),ISNUMBER(F296),E296&gt;0,F296&gt;0),SQRT(3)*'Bulk Calculator'!O28*'Bulk Calculator'!U28*((E296*'Bulk Calculator'!M28)+(F296*SQRT(1-'Bulk Calculator'!M28^2)))/'Bulk Calculator'!J28/'Bulk Calculator'!K28*100,D296*'Bulk Calculator'!U28*'Bulk Calculator'!O28/'Bulk Calculator'!J28/'Bulk Calculator'!K28*100),"")</f>
        <v>0</v>
      </c>
      <c r="K296">
        <f>IFERROR(G296*B296*'Bulk Calculator'!J28/SQRT('Bulk Calculator'!S28)/1000,"")</f>
        <v>30.376983474334644</v>
      </c>
      <c r="L296">
        <f>IF(OR('Bulk Calculator'!R28="",'Bulk Calculator'!S28="",G296=""),0,IF(K296&gt;='Bulk Calculator'!R28,1,0))</f>
        <v>1</v>
      </c>
      <c r="M296">
        <f>IF(AND(H296=1,I296&lt;='OS-DORAEN'!$B$6,J296&lt;='OS-DORAEN'!$B$5,L296=1),1,0)</f>
        <v>1</v>
      </c>
      <c r="N296" t="str">
        <f t="shared" si="4"/>
        <v>R/X</v>
      </c>
    </row>
    <row r="297" spans="1:14" ht="15" customHeight="1" x14ac:dyDescent="0.35">
      <c r="A297">
        <v>28</v>
      </c>
      <c r="B297">
        <v>70</v>
      </c>
      <c r="C297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Master'!$F:$F,B297),"")</f>
        <v>179</v>
      </c>
      <c r="D297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Master'!$F:$F,B297),"")</f>
        <v>0.56699999999999995</v>
      </c>
      <c r="E297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Master'!$F:$F,B297),"")</f>
        <v>0.56699999999999995</v>
      </c>
      <c r="F297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Master'!$F:$F,B297),"")</f>
        <v>7.6999999999999999E-2</v>
      </c>
      <c r="G297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Master'!$F:$F,B297),"")</f>
        <v>143</v>
      </c>
      <c r="H297">
        <f>IF(AND(ISNUMBER(C297),C297&gt;='Bulk Calculator'!U28/('Bulk Calculator'!J28*'Bulk Calculator'!L28)),1,0)</f>
        <v>1</v>
      </c>
      <c r="I297">
        <f>IFERROR(IF(AND(ISNUMBER(E297),ISNUMBER(F297),E297&gt;0,F297&gt;0),SQRT(3)*'Bulk Calculator'!O28*'Bulk Calculator'!AA28*((E297*'Bulk Calculator'!Q28)+(F297*SQRT(1-'Bulk Calculator'!Q28^2)))/'Bulk Calculator'!J28/'Bulk Calculator'!K28*100,D297*'Bulk Calculator'!AA28*'Bulk Calculator'!O28/'Bulk Calculator'!J28/'Bulk Calculator'!K28*100),"")</f>
        <v>0</v>
      </c>
      <c r="J297">
        <f>IFERROR(IF(AND(ISNUMBER(E297),ISNUMBER(F297),E297&gt;0,F297&gt;0),SQRT(3)*'Bulk Calculator'!O28*'Bulk Calculator'!U28*((E297*'Bulk Calculator'!M28)+(F297*SQRT(1-'Bulk Calculator'!M28^2)))/'Bulk Calculator'!J28/'Bulk Calculator'!K28*100,D297*'Bulk Calculator'!U28*'Bulk Calculator'!O28/'Bulk Calculator'!J28/'Bulk Calculator'!K28*100),"")</f>
        <v>0</v>
      </c>
      <c r="K297">
        <f>IFERROR(G297*B297*'Bulk Calculator'!J28/SQRT('Bulk Calculator'!S28)/1000,"")</f>
        <v>22.383040454772893</v>
      </c>
      <c r="L297">
        <f>IF(OR('Bulk Calculator'!R28="",'Bulk Calculator'!S28="",G297=""),0,IF(K297&gt;='Bulk Calculator'!R28,1,0))</f>
        <v>1</v>
      </c>
      <c r="M297">
        <f>IF(AND(H297=1,I297&lt;='OS-DORAEN'!$B$6,J297&lt;='OS-DORAEN'!$B$5,L297=1),1,0)</f>
        <v>1</v>
      </c>
      <c r="N297" t="str">
        <f t="shared" si="4"/>
        <v>R/X</v>
      </c>
    </row>
    <row r="298" spans="1:14" ht="15" customHeight="1" x14ac:dyDescent="0.35">
      <c r="A298">
        <v>28</v>
      </c>
      <c r="B298">
        <v>50</v>
      </c>
      <c r="C298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Master'!$F:$F,B298),"")</f>
        <v>142</v>
      </c>
      <c r="D298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Master'!$F:$F,B298),"")</f>
        <v>0.82</v>
      </c>
      <c r="E298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Master'!$F:$F,B298),"")</f>
        <v>0.82</v>
      </c>
      <c r="F298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Master'!$F:$F,B298),"")</f>
        <v>7.8E-2</v>
      </c>
      <c r="G298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Master'!$F:$F,B298),"")</f>
        <v>143</v>
      </c>
      <c r="H298">
        <f>IF(AND(ISNUMBER(C298),C298&gt;='Bulk Calculator'!U28/('Bulk Calculator'!J28*'Bulk Calculator'!L28)),1,0)</f>
        <v>1</v>
      </c>
      <c r="I298">
        <f>IFERROR(IF(AND(ISNUMBER(E298),ISNUMBER(F298),E298&gt;0,F298&gt;0),SQRT(3)*'Bulk Calculator'!O28*'Bulk Calculator'!AA28*((E298*'Bulk Calculator'!Q28)+(F298*SQRT(1-'Bulk Calculator'!Q28^2)))/'Bulk Calculator'!J28/'Bulk Calculator'!K28*100,D298*'Bulk Calculator'!AA28*'Bulk Calculator'!O28/'Bulk Calculator'!J28/'Bulk Calculator'!K28*100),"")</f>
        <v>0</v>
      </c>
      <c r="J298">
        <f>IFERROR(IF(AND(ISNUMBER(E298),ISNUMBER(F298),E298&gt;0,F298&gt;0),SQRT(3)*'Bulk Calculator'!O28*'Bulk Calculator'!U28*((E298*'Bulk Calculator'!M28)+(F298*SQRT(1-'Bulk Calculator'!M28^2)))/'Bulk Calculator'!J28/'Bulk Calculator'!K28*100,D298*'Bulk Calculator'!U28*'Bulk Calculator'!O28/'Bulk Calculator'!J28/'Bulk Calculator'!K28*100),"")</f>
        <v>0</v>
      </c>
      <c r="K298">
        <f>IFERROR(G298*B298*'Bulk Calculator'!J28/SQRT('Bulk Calculator'!S28)/1000,"")</f>
        <v>15.987886039123497</v>
      </c>
      <c r="L298">
        <f>IF(OR('Bulk Calculator'!R28="",'Bulk Calculator'!S28="",G298=""),0,IF(K298&gt;='Bulk Calculator'!R28,1,0))</f>
        <v>1</v>
      </c>
      <c r="M298">
        <f>IF(AND(H298=1,I298&lt;='OS-DORAEN'!$B$6,J298&lt;='OS-DORAEN'!$B$5,L298=1),1,0)</f>
        <v>1</v>
      </c>
      <c r="N298" t="str">
        <f t="shared" si="4"/>
        <v>R/X</v>
      </c>
    </row>
    <row r="299" spans="1:14" ht="15" customHeight="1" x14ac:dyDescent="0.35">
      <c r="A299">
        <v>28</v>
      </c>
      <c r="B299">
        <v>35</v>
      </c>
      <c r="C299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Master'!$F:$F,B299),"")</f>
        <v>117</v>
      </c>
      <c r="D299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Master'!$F:$F,B299),"")</f>
        <v>1.1100000000000001</v>
      </c>
      <c r="E299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Master'!$F:$F,B299),"")</f>
        <v>1.1100000000000001</v>
      </c>
      <c r="F299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Master'!$F:$F,B299),"")</f>
        <v>0.08</v>
      </c>
      <c r="G299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Master'!$F:$F,B299),"")</f>
        <v>143</v>
      </c>
      <c r="H299">
        <f>IF(AND(ISNUMBER(C299),C299&gt;='Bulk Calculator'!U28/('Bulk Calculator'!J28*'Bulk Calculator'!L28)),1,0)</f>
        <v>1</v>
      </c>
      <c r="I299">
        <f>IFERROR(IF(AND(ISNUMBER(E299),ISNUMBER(F299),E299&gt;0,F299&gt;0),SQRT(3)*'Bulk Calculator'!O28*'Bulk Calculator'!AA28*((E299*'Bulk Calculator'!Q28)+(F299*SQRT(1-'Bulk Calculator'!Q28^2)))/'Bulk Calculator'!J28/'Bulk Calculator'!K28*100,D299*'Bulk Calculator'!AA28*'Bulk Calculator'!O28/'Bulk Calculator'!J28/'Bulk Calculator'!K28*100),"")</f>
        <v>0</v>
      </c>
      <c r="J299">
        <f>IFERROR(IF(AND(ISNUMBER(E299),ISNUMBER(F299),E299&gt;0,F299&gt;0),SQRT(3)*'Bulk Calculator'!O28*'Bulk Calculator'!U28*((E299*'Bulk Calculator'!M28)+(F299*SQRT(1-'Bulk Calculator'!M28^2)))/'Bulk Calculator'!J28/'Bulk Calculator'!K28*100,D299*'Bulk Calculator'!U28*'Bulk Calculator'!O28/'Bulk Calculator'!J28/'Bulk Calculator'!K28*100),"")</f>
        <v>0</v>
      </c>
      <c r="K299">
        <f>IFERROR(G299*B299*'Bulk Calculator'!J28/SQRT('Bulk Calculator'!S28)/1000,"")</f>
        <v>11.191520227386446</v>
      </c>
      <c r="L299">
        <f>IF(OR('Bulk Calculator'!R28="",'Bulk Calculator'!S28="",G299=""),0,IF(K299&gt;='Bulk Calculator'!R28,1,0))</f>
        <v>1</v>
      </c>
      <c r="M299">
        <f>IF(AND(H299=1,I299&lt;='OS-DORAEN'!$B$6,J299&lt;='OS-DORAEN'!$B$5,L299=1),1,0)</f>
        <v>1</v>
      </c>
      <c r="N299" t="str">
        <f t="shared" si="4"/>
        <v>R/X</v>
      </c>
    </row>
    <row r="300" spans="1:14" ht="15" customHeight="1" x14ac:dyDescent="0.35">
      <c r="A300">
        <v>28</v>
      </c>
      <c r="B300">
        <v>25</v>
      </c>
      <c r="C300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Master'!$F:$F,B300),"")</f>
        <v>96</v>
      </c>
      <c r="D300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Master'!$F:$F,B300),"")</f>
        <v>1.54</v>
      </c>
      <c r="E300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Master'!$F:$F,B300),"")</f>
        <v>1.54</v>
      </c>
      <c r="F300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Master'!$F:$F,B300),"")</f>
        <v>0.08</v>
      </c>
      <c r="G300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Master'!$F:$F,B300),"")</f>
        <v>143</v>
      </c>
      <c r="H300">
        <f>IF(AND(ISNUMBER(C300),C300&gt;='Bulk Calculator'!U28/('Bulk Calculator'!J28*'Bulk Calculator'!L28)),1,0)</f>
        <v>1</v>
      </c>
      <c r="I300">
        <f>IFERROR(IF(AND(ISNUMBER(E300),ISNUMBER(F300),E300&gt;0,F300&gt;0),SQRT(3)*'Bulk Calculator'!O28*'Bulk Calculator'!AA28*((E300*'Bulk Calculator'!Q28)+(F300*SQRT(1-'Bulk Calculator'!Q28^2)))/'Bulk Calculator'!J28/'Bulk Calculator'!K28*100,D300*'Bulk Calculator'!AA28*'Bulk Calculator'!O28/'Bulk Calculator'!J28/'Bulk Calculator'!K28*100),"")</f>
        <v>0</v>
      </c>
      <c r="J300">
        <f>IFERROR(IF(AND(ISNUMBER(E300),ISNUMBER(F300),E300&gt;0,F300&gt;0),SQRT(3)*'Bulk Calculator'!O28*'Bulk Calculator'!U28*((E300*'Bulk Calculator'!M28)+(F300*SQRT(1-'Bulk Calculator'!M28^2)))/'Bulk Calculator'!J28/'Bulk Calculator'!K28*100,D300*'Bulk Calculator'!U28*'Bulk Calculator'!O28/'Bulk Calculator'!J28/'Bulk Calculator'!K28*100),"")</f>
        <v>0</v>
      </c>
      <c r="K300">
        <f>IFERROR(G300*B300*'Bulk Calculator'!J28/SQRT('Bulk Calculator'!S28)/1000,"")</f>
        <v>7.9939430195617485</v>
      </c>
      <c r="L300">
        <f>IF(OR('Bulk Calculator'!R28="",'Bulk Calculator'!S28="",G300=""),0,IF(K300&gt;='Bulk Calculator'!R28,1,0))</f>
        <v>1</v>
      </c>
      <c r="M300">
        <f>IF(AND(H300=1,I300&lt;='OS-DORAEN'!$B$6,J300&lt;='OS-DORAEN'!$B$5,L300=1),1,0)</f>
        <v>1</v>
      </c>
      <c r="N300" t="str">
        <f t="shared" si="4"/>
        <v>R/X</v>
      </c>
    </row>
    <row r="301" spans="1:14" ht="15" customHeight="1" x14ac:dyDescent="0.35">
      <c r="A301">
        <v>28</v>
      </c>
      <c r="B301">
        <v>16</v>
      </c>
      <c r="C301">
        <f>IFERROR(SUMIFS('Cable Data Master'!$G:$G,'Cable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Master'!$F:$F,B301),"")</f>
        <v>0</v>
      </c>
      <c r="D301">
        <f>IFERROR(SUMIFS('Cable Data Master'!$K:$K,'Cable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Master'!$F:$F,B301),"")</f>
        <v>0</v>
      </c>
      <c r="E301">
        <f>IFERROR(SUMIFS('Cable Data Master'!$H:$H,'Cable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Master'!$F:$F,B301),"")</f>
        <v>0</v>
      </c>
      <c r="F301">
        <f>IFERROR(SUMIFS('Cable Data Master'!$I:$I,'Cable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Master'!$F:$F,B301),"")</f>
        <v>0</v>
      </c>
      <c r="G301">
        <f>IFERROR(SUMIFS('Cable Data Master'!$J:$J,'Cable Data Master'!$A:$A,'Bulk Calculator'!$BF28,'Cable Data Master'!$B:$B,'Bulk Calculator'!$BG28,'Cable Data Master'!$C:$C,'Bulk Calculator'!$BH28,'Cable Data Master'!$D:$D,'Bulk Calculator'!$BI28,'Cable Data Master'!$E:$E,'Bulk Calculator'!$BJ28,'Cable Data Master'!$F:$F,B301),"")</f>
        <v>0</v>
      </c>
      <c r="H301">
        <f>IF(AND(ISNUMBER(C301),C301&gt;='Bulk Calculator'!U28/('Bulk Calculator'!J28*'Bulk Calculator'!L28)),1,0)</f>
        <v>1</v>
      </c>
      <c r="I301">
        <f>IFERROR(IF(AND(ISNUMBER(E301),ISNUMBER(F301),E301&gt;0,F301&gt;0),SQRT(3)*'Bulk Calculator'!O28*'Bulk Calculator'!AA28*((E301*'Bulk Calculator'!Q28)+(F301*SQRT(1-'Bulk Calculator'!Q28^2)))/'Bulk Calculator'!J28/'Bulk Calculator'!K28*100,D301*'Bulk Calculator'!AA28*'Bulk Calculator'!O28/'Bulk Calculator'!J28/'Bulk Calculator'!K28*100),"")</f>
        <v>0</v>
      </c>
      <c r="J301">
        <f>IFERROR(IF(AND(ISNUMBER(E301),ISNUMBER(F301),E301&gt;0,F301&gt;0),SQRT(3)*'Bulk Calculator'!O28*'Bulk Calculator'!U28*((E301*'Bulk Calculator'!M28)+(F301*SQRT(1-'Bulk Calculator'!M28^2)))/'Bulk Calculator'!J28/'Bulk Calculator'!K28*100,D301*'Bulk Calculator'!U28*'Bulk Calculator'!O28/'Bulk Calculator'!J28/'Bulk Calculator'!K28*100),"")</f>
        <v>0</v>
      </c>
      <c r="K301">
        <f>IFERROR(G301*B301*'Bulk Calculator'!J28/SQRT('Bulk Calculator'!S28)/1000,"")</f>
        <v>0</v>
      </c>
      <c r="L301">
        <f>IF(OR('Bulk Calculator'!R28="",'Bulk Calculator'!S28="",G301=""),0,IF(K301&gt;='Bulk Calculator'!R28,1,0))</f>
        <v>1</v>
      </c>
      <c r="M301">
        <f>IF(AND(H301=1,I301&lt;='OS-DORAEN'!$B$6,J301&lt;='OS-DORAEN'!$B$5,L301=1),1,0)</f>
        <v>1</v>
      </c>
      <c r="N301" t="str">
        <f t="shared" si="4"/>
        <v>Manufacturer VD Ref</v>
      </c>
    </row>
    <row r="302" spans="1:14" ht="15" customHeight="1" x14ac:dyDescent="0.35">
      <c r="A302">
        <v>29</v>
      </c>
      <c r="B302">
        <v>400</v>
      </c>
      <c r="C302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Master'!$F:$F,B302),"")</f>
        <v>530</v>
      </c>
      <c r="D302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Master'!$F:$F,B302),"")</f>
        <v>0.1023</v>
      </c>
      <c r="E302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Master'!$F:$F,B302),"")</f>
        <v>0.1023</v>
      </c>
      <c r="F302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Master'!$F:$F,B302),"")</f>
        <v>7.0000000000000007E-2</v>
      </c>
      <c r="G302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Master'!$F:$F,B302),"")</f>
        <v>143</v>
      </c>
      <c r="H302">
        <f>IF(AND(ISNUMBER(C302),C302&gt;='Bulk Calculator'!U29/('Bulk Calculator'!J29*'Bulk Calculator'!L29)),1,0)</f>
        <v>1</v>
      </c>
      <c r="I302">
        <f>IFERROR(IF(AND(ISNUMBER(E302),ISNUMBER(F302),E302&gt;0,F302&gt;0),SQRT(3)*'Bulk Calculator'!O29*'Bulk Calculator'!AA29*((E302*'Bulk Calculator'!Q29)+(F302*SQRT(1-'Bulk Calculator'!Q29^2)))/'Bulk Calculator'!J29/'Bulk Calculator'!K29*100,D302*'Bulk Calculator'!AA29*'Bulk Calculator'!O29/'Bulk Calculator'!J29/'Bulk Calculator'!K29*100),"")</f>
        <v>0</v>
      </c>
      <c r="J302">
        <f>IFERROR(IF(AND(ISNUMBER(E302),ISNUMBER(F302),E302&gt;0,F302&gt;0),SQRT(3)*'Bulk Calculator'!O29*'Bulk Calculator'!U29*((E302*'Bulk Calculator'!M29)+(F302*SQRT(1-'Bulk Calculator'!M29^2)))/'Bulk Calculator'!J29/'Bulk Calculator'!K29*100,D302*'Bulk Calculator'!U29*'Bulk Calculator'!O29/'Bulk Calculator'!J29/'Bulk Calculator'!K29*100),"")</f>
        <v>0</v>
      </c>
      <c r="K302">
        <f>IFERROR(G302*B302*'Bulk Calculator'!J29/SQRT('Bulk Calculator'!S29)/1000,"")</f>
        <v>127.90308831298798</v>
      </c>
      <c r="L302">
        <f>IF(OR('Bulk Calculator'!R29="",'Bulk Calculator'!S29="",G302=""),0,IF(K302&gt;='Bulk Calculator'!R29,1,0))</f>
        <v>1</v>
      </c>
      <c r="M302">
        <f>IF(AND(H302=1,I302&lt;='OS-DORAEN'!$B$6,J302&lt;='OS-DORAEN'!$B$5,L302=1),1,0)</f>
        <v>1</v>
      </c>
      <c r="N302" t="str">
        <f t="shared" si="4"/>
        <v>R/X</v>
      </c>
    </row>
    <row r="303" spans="1:14" ht="15" customHeight="1" x14ac:dyDescent="0.35">
      <c r="A303">
        <v>29</v>
      </c>
      <c r="B303">
        <v>300</v>
      </c>
      <c r="C303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Master'!$F:$F,B303),"")</f>
        <v>455</v>
      </c>
      <c r="D303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Master'!$F:$F,B303),"")</f>
        <v>0.13</v>
      </c>
      <c r="E303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Master'!$F:$F,B303),"")</f>
        <v>0.13</v>
      </c>
      <c r="F303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Master'!$F:$F,B303),"")</f>
        <v>7.0999999999999994E-2</v>
      </c>
      <c r="G303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Master'!$F:$F,B303),"")</f>
        <v>143</v>
      </c>
      <c r="H303">
        <f>IF(AND(ISNUMBER(C303),C303&gt;='Bulk Calculator'!U29/('Bulk Calculator'!J29*'Bulk Calculator'!L29)),1,0)</f>
        <v>1</v>
      </c>
      <c r="I303">
        <f>IFERROR(IF(AND(ISNUMBER(E303),ISNUMBER(F303),E303&gt;0,F303&gt;0),SQRT(3)*'Bulk Calculator'!O29*'Bulk Calculator'!AA29*((E303*'Bulk Calculator'!Q29)+(F303*SQRT(1-'Bulk Calculator'!Q29^2)))/'Bulk Calculator'!J29/'Bulk Calculator'!K29*100,D303*'Bulk Calculator'!AA29*'Bulk Calculator'!O29/'Bulk Calculator'!J29/'Bulk Calculator'!K29*100),"")</f>
        <v>0</v>
      </c>
      <c r="J303">
        <f>IFERROR(IF(AND(ISNUMBER(E303),ISNUMBER(F303),E303&gt;0,F303&gt;0),SQRT(3)*'Bulk Calculator'!O29*'Bulk Calculator'!U29*((E303*'Bulk Calculator'!M29)+(F303*SQRT(1-'Bulk Calculator'!M29^2)))/'Bulk Calculator'!J29/'Bulk Calculator'!K29*100,D303*'Bulk Calculator'!U29*'Bulk Calculator'!O29/'Bulk Calculator'!J29/'Bulk Calculator'!K29*100),"")</f>
        <v>0</v>
      </c>
      <c r="K303">
        <f>IFERROR(G303*B303*'Bulk Calculator'!J29/SQRT('Bulk Calculator'!S29)/1000,"")</f>
        <v>95.927316234740985</v>
      </c>
      <c r="L303">
        <f>IF(OR('Bulk Calculator'!R29="",'Bulk Calculator'!S29="",G303=""),0,IF(K303&gt;='Bulk Calculator'!R29,1,0))</f>
        <v>1</v>
      </c>
      <c r="M303">
        <f>IF(AND(H303=1,I303&lt;='OS-DORAEN'!$B$6,J303&lt;='OS-DORAEN'!$B$5,L303=1),1,0)</f>
        <v>1</v>
      </c>
      <c r="N303" t="str">
        <f t="shared" si="4"/>
        <v>R/X</v>
      </c>
    </row>
    <row r="304" spans="1:14" ht="15" customHeight="1" x14ac:dyDescent="0.35">
      <c r="A304">
        <v>29</v>
      </c>
      <c r="B304">
        <v>240</v>
      </c>
      <c r="C304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Master'!$F:$F,B304),"")</f>
        <v>399</v>
      </c>
      <c r="D304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Master'!$F:$F,B304),"")</f>
        <v>0.16200000000000001</v>
      </c>
      <c r="E304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Master'!$F:$F,B304),"")</f>
        <v>0.16200000000000001</v>
      </c>
      <c r="F304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Master'!$F:$F,B304),"")</f>
        <v>7.1999999999999995E-2</v>
      </c>
      <c r="G304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Master'!$F:$F,B304),"")</f>
        <v>143</v>
      </c>
      <c r="H304">
        <f>IF(AND(ISNUMBER(C304),C304&gt;='Bulk Calculator'!U29/('Bulk Calculator'!J29*'Bulk Calculator'!L29)),1,0)</f>
        <v>1</v>
      </c>
      <c r="I304">
        <f>IFERROR(IF(AND(ISNUMBER(E304),ISNUMBER(F304),E304&gt;0,F304&gt;0),SQRT(3)*'Bulk Calculator'!O29*'Bulk Calculator'!AA29*((E304*'Bulk Calculator'!Q29)+(F304*SQRT(1-'Bulk Calculator'!Q29^2)))/'Bulk Calculator'!J29/'Bulk Calculator'!K29*100,D304*'Bulk Calculator'!AA29*'Bulk Calculator'!O29/'Bulk Calculator'!J29/'Bulk Calculator'!K29*100),"")</f>
        <v>0</v>
      </c>
      <c r="J304">
        <f>IFERROR(IF(AND(ISNUMBER(E304),ISNUMBER(F304),E304&gt;0,F304&gt;0),SQRT(3)*'Bulk Calculator'!O29*'Bulk Calculator'!U29*((E304*'Bulk Calculator'!M29)+(F304*SQRT(1-'Bulk Calculator'!M29^2)))/'Bulk Calculator'!J29/'Bulk Calculator'!K29*100,D304*'Bulk Calculator'!U29*'Bulk Calculator'!O29/'Bulk Calculator'!J29/'Bulk Calculator'!K29*100),"")</f>
        <v>0</v>
      </c>
      <c r="K304">
        <f>IFERROR(G304*B304*'Bulk Calculator'!J29/SQRT('Bulk Calculator'!S29)/1000,"")</f>
        <v>76.741852987792782</v>
      </c>
      <c r="L304">
        <f>IF(OR('Bulk Calculator'!R29="",'Bulk Calculator'!S29="",G304=""),0,IF(K304&gt;='Bulk Calculator'!R29,1,0))</f>
        <v>1</v>
      </c>
      <c r="M304">
        <f>IF(AND(H304=1,I304&lt;='OS-DORAEN'!$B$6,J304&lt;='OS-DORAEN'!$B$5,L304=1),1,0)</f>
        <v>1</v>
      </c>
      <c r="N304" t="str">
        <f t="shared" si="4"/>
        <v>R/X</v>
      </c>
    </row>
    <row r="305" spans="1:14" ht="15" customHeight="1" x14ac:dyDescent="0.35">
      <c r="A305">
        <v>29</v>
      </c>
      <c r="B305">
        <v>185</v>
      </c>
      <c r="C305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Master'!$F:$F,B305),"")</f>
        <v>337</v>
      </c>
      <c r="D305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Master'!$F:$F,B305),"")</f>
        <v>0.21099999999999999</v>
      </c>
      <c r="E305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Master'!$F:$F,B305),"")</f>
        <v>0.21099999999999999</v>
      </c>
      <c r="F305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Master'!$F:$F,B305),"")</f>
        <v>7.1999999999999995E-2</v>
      </c>
      <c r="G305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Master'!$F:$F,B305),"")</f>
        <v>143</v>
      </c>
      <c r="H305">
        <f>IF(AND(ISNUMBER(C305),C305&gt;='Bulk Calculator'!U29/('Bulk Calculator'!J29*'Bulk Calculator'!L29)),1,0)</f>
        <v>1</v>
      </c>
      <c r="I305">
        <f>IFERROR(IF(AND(ISNUMBER(E305),ISNUMBER(F305),E305&gt;0,F305&gt;0),SQRT(3)*'Bulk Calculator'!O29*'Bulk Calculator'!AA29*((E305*'Bulk Calculator'!Q29)+(F305*SQRT(1-'Bulk Calculator'!Q29^2)))/'Bulk Calculator'!J29/'Bulk Calculator'!K29*100,D305*'Bulk Calculator'!AA29*'Bulk Calculator'!O29/'Bulk Calculator'!J29/'Bulk Calculator'!K29*100),"")</f>
        <v>0</v>
      </c>
      <c r="J305">
        <f>IFERROR(IF(AND(ISNUMBER(E305),ISNUMBER(F305),E305&gt;0,F305&gt;0),SQRT(3)*'Bulk Calculator'!O29*'Bulk Calculator'!U29*((E305*'Bulk Calculator'!M29)+(F305*SQRT(1-'Bulk Calculator'!M29^2)))/'Bulk Calculator'!J29/'Bulk Calculator'!K29*100,D305*'Bulk Calculator'!U29*'Bulk Calculator'!O29/'Bulk Calculator'!J29/'Bulk Calculator'!K29*100),"")</f>
        <v>0</v>
      </c>
      <c r="K305">
        <f>IFERROR(G305*B305*'Bulk Calculator'!J29/SQRT('Bulk Calculator'!S29)/1000,"")</f>
        <v>59.155178344756941</v>
      </c>
      <c r="L305">
        <f>IF(OR('Bulk Calculator'!R29="",'Bulk Calculator'!S29="",G305=""),0,IF(K305&gt;='Bulk Calculator'!R29,1,0))</f>
        <v>1</v>
      </c>
      <c r="M305">
        <f>IF(AND(H305=1,I305&lt;='OS-DORAEN'!$B$6,J305&lt;='OS-DORAEN'!$B$5,L305=1),1,0)</f>
        <v>1</v>
      </c>
      <c r="N305" t="str">
        <f t="shared" si="4"/>
        <v>R/X</v>
      </c>
    </row>
    <row r="306" spans="1:14" ht="15" customHeight="1" x14ac:dyDescent="0.35">
      <c r="A306">
        <v>29</v>
      </c>
      <c r="B306">
        <v>150</v>
      </c>
      <c r="C306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Master'!$F:$F,B306),"")</f>
        <v>292</v>
      </c>
      <c r="D306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Master'!$F:$F,B306),"")</f>
        <v>0.26500000000000001</v>
      </c>
      <c r="E306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Master'!$F:$F,B306),"")</f>
        <v>0.26500000000000001</v>
      </c>
      <c r="F306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Master'!$F:$F,B306),"")</f>
        <v>7.1999999999999995E-2</v>
      </c>
      <c r="G306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Master'!$F:$F,B306),"")</f>
        <v>143</v>
      </c>
      <c r="H306">
        <f>IF(AND(ISNUMBER(C306),C306&gt;='Bulk Calculator'!U29/('Bulk Calculator'!J29*'Bulk Calculator'!L29)),1,0)</f>
        <v>1</v>
      </c>
      <c r="I306">
        <f>IFERROR(IF(AND(ISNUMBER(E306),ISNUMBER(F306),E306&gt;0,F306&gt;0),SQRT(3)*'Bulk Calculator'!O29*'Bulk Calculator'!AA29*((E306*'Bulk Calculator'!Q29)+(F306*SQRT(1-'Bulk Calculator'!Q29^2)))/'Bulk Calculator'!J29/'Bulk Calculator'!K29*100,D306*'Bulk Calculator'!AA29*'Bulk Calculator'!O29/'Bulk Calculator'!J29/'Bulk Calculator'!K29*100),"")</f>
        <v>0</v>
      </c>
      <c r="J306">
        <f>IFERROR(IF(AND(ISNUMBER(E306),ISNUMBER(F306),E306&gt;0,F306&gt;0),SQRT(3)*'Bulk Calculator'!O29*'Bulk Calculator'!U29*((E306*'Bulk Calculator'!M29)+(F306*SQRT(1-'Bulk Calculator'!M29^2)))/'Bulk Calculator'!J29/'Bulk Calculator'!K29*100,D306*'Bulk Calculator'!U29*'Bulk Calculator'!O29/'Bulk Calculator'!J29/'Bulk Calculator'!K29*100),"")</f>
        <v>0</v>
      </c>
      <c r="K306">
        <f>IFERROR(G306*B306*'Bulk Calculator'!J29/SQRT('Bulk Calculator'!S29)/1000,"")</f>
        <v>47.963658117370493</v>
      </c>
      <c r="L306">
        <f>IF(OR('Bulk Calculator'!R29="",'Bulk Calculator'!S29="",G306=""),0,IF(K306&gt;='Bulk Calculator'!R29,1,0))</f>
        <v>1</v>
      </c>
      <c r="M306">
        <f>IF(AND(H306=1,I306&lt;='OS-DORAEN'!$B$6,J306&lt;='OS-DORAEN'!$B$5,L306=1),1,0)</f>
        <v>1</v>
      </c>
      <c r="N306" t="str">
        <f t="shared" si="4"/>
        <v>R/X</v>
      </c>
    </row>
    <row r="307" spans="1:14" ht="15" customHeight="1" x14ac:dyDescent="0.35">
      <c r="A307">
        <v>29</v>
      </c>
      <c r="B307">
        <v>120</v>
      </c>
      <c r="C307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Master'!$F:$F,B307),"")</f>
        <v>257</v>
      </c>
      <c r="D307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Master'!$F:$F,B307),"")</f>
        <v>0.32500000000000001</v>
      </c>
      <c r="E307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Master'!$F:$F,B307),"")</f>
        <v>0.32500000000000001</v>
      </c>
      <c r="F307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Master'!$F:$F,B307),"")</f>
        <v>7.1999999999999995E-2</v>
      </c>
      <c r="G307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Master'!$F:$F,B307),"")</f>
        <v>143</v>
      </c>
      <c r="H307">
        <f>IF(AND(ISNUMBER(C307),C307&gt;='Bulk Calculator'!U29/('Bulk Calculator'!J29*'Bulk Calculator'!L29)),1,0)</f>
        <v>1</v>
      </c>
      <c r="I307">
        <f>IFERROR(IF(AND(ISNUMBER(E307),ISNUMBER(F307),E307&gt;0,F307&gt;0),SQRT(3)*'Bulk Calculator'!O29*'Bulk Calculator'!AA29*((E307*'Bulk Calculator'!Q29)+(F307*SQRT(1-'Bulk Calculator'!Q29^2)))/'Bulk Calculator'!J29/'Bulk Calculator'!K29*100,D307*'Bulk Calculator'!AA29*'Bulk Calculator'!O29/'Bulk Calculator'!J29/'Bulk Calculator'!K29*100),"")</f>
        <v>0</v>
      </c>
      <c r="J307">
        <f>IFERROR(IF(AND(ISNUMBER(E307),ISNUMBER(F307),E307&gt;0,F307&gt;0),SQRT(3)*'Bulk Calculator'!O29*'Bulk Calculator'!U29*((E307*'Bulk Calculator'!M29)+(F307*SQRT(1-'Bulk Calculator'!M29^2)))/'Bulk Calculator'!J29/'Bulk Calculator'!K29*100,D307*'Bulk Calculator'!U29*'Bulk Calculator'!O29/'Bulk Calculator'!J29/'Bulk Calculator'!K29*100),"")</f>
        <v>0</v>
      </c>
      <c r="K307">
        <f>IFERROR(G307*B307*'Bulk Calculator'!J29/SQRT('Bulk Calculator'!S29)/1000,"")</f>
        <v>38.370926493896391</v>
      </c>
      <c r="L307">
        <f>IF(OR('Bulk Calculator'!R29="",'Bulk Calculator'!S29="",G307=""),0,IF(K307&gt;='Bulk Calculator'!R29,1,0))</f>
        <v>1</v>
      </c>
      <c r="M307">
        <f>IF(AND(H307=1,I307&lt;='OS-DORAEN'!$B$6,J307&lt;='OS-DORAEN'!$B$5,L307=1),1,0)</f>
        <v>1</v>
      </c>
      <c r="N307" t="str">
        <f t="shared" si="4"/>
        <v>R/X</v>
      </c>
    </row>
    <row r="308" spans="1:14" ht="15" customHeight="1" x14ac:dyDescent="0.35">
      <c r="A308">
        <v>29</v>
      </c>
      <c r="B308">
        <v>95</v>
      </c>
      <c r="C308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Master'!$F:$F,B308),"")</f>
        <v>221</v>
      </c>
      <c r="D308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Master'!$F:$F,B308),"")</f>
        <v>0.41</v>
      </c>
      <c r="E308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Master'!$F:$F,B308),"")</f>
        <v>0.41</v>
      </c>
      <c r="F308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Master'!$F:$F,B308),"")</f>
        <v>7.3999999999999996E-2</v>
      </c>
      <c r="G308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Master'!$F:$F,B308),"")</f>
        <v>143</v>
      </c>
      <c r="H308">
        <f>IF(AND(ISNUMBER(C308),C308&gt;='Bulk Calculator'!U29/('Bulk Calculator'!J29*'Bulk Calculator'!L29)),1,0)</f>
        <v>1</v>
      </c>
      <c r="I308">
        <f>IFERROR(IF(AND(ISNUMBER(E308),ISNUMBER(F308),E308&gt;0,F308&gt;0),SQRT(3)*'Bulk Calculator'!O29*'Bulk Calculator'!AA29*((E308*'Bulk Calculator'!Q29)+(F308*SQRT(1-'Bulk Calculator'!Q29^2)))/'Bulk Calculator'!J29/'Bulk Calculator'!K29*100,D308*'Bulk Calculator'!AA29*'Bulk Calculator'!O29/'Bulk Calculator'!J29/'Bulk Calculator'!K29*100),"")</f>
        <v>0</v>
      </c>
      <c r="J308">
        <f>IFERROR(IF(AND(ISNUMBER(E308),ISNUMBER(F308),E308&gt;0,F308&gt;0),SQRT(3)*'Bulk Calculator'!O29*'Bulk Calculator'!U29*((E308*'Bulk Calculator'!M29)+(F308*SQRT(1-'Bulk Calculator'!M29^2)))/'Bulk Calculator'!J29/'Bulk Calculator'!K29*100,D308*'Bulk Calculator'!U29*'Bulk Calculator'!O29/'Bulk Calculator'!J29/'Bulk Calculator'!K29*100),"")</f>
        <v>0</v>
      </c>
      <c r="K308">
        <f>IFERROR(G308*B308*'Bulk Calculator'!J29/SQRT('Bulk Calculator'!S29)/1000,"")</f>
        <v>30.376983474334644</v>
      </c>
      <c r="L308">
        <f>IF(OR('Bulk Calculator'!R29="",'Bulk Calculator'!S29="",G308=""),0,IF(K308&gt;='Bulk Calculator'!R29,1,0))</f>
        <v>1</v>
      </c>
      <c r="M308">
        <f>IF(AND(H308=1,I308&lt;='OS-DORAEN'!$B$6,J308&lt;='OS-DORAEN'!$B$5,L308=1),1,0)</f>
        <v>1</v>
      </c>
      <c r="N308" t="str">
        <f t="shared" si="4"/>
        <v>R/X</v>
      </c>
    </row>
    <row r="309" spans="1:14" ht="15" customHeight="1" x14ac:dyDescent="0.35">
      <c r="A309">
        <v>29</v>
      </c>
      <c r="B309">
        <v>70</v>
      </c>
      <c r="C309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Master'!$F:$F,B309),"")</f>
        <v>179</v>
      </c>
      <c r="D309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Master'!$F:$F,B309),"")</f>
        <v>0.56699999999999995</v>
      </c>
      <c r="E309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Master'!$F:$F,B309),"")</f>
        <v>0.56699999999999995</v>
      </c>
      <c r="F309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Master'!$F:$F,B309),"")</f>
        <v>7.6999999999999999E-2</v>
      </c>
      <c r="G309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Master'!$F:$F,B309),"")</f>
        <v>143</v>
      </c>
      <c r="H309">
        <f>IF(AND(ISNUMBER(C309),C309&gt;='Bulk Calculator'!U29/('Bulk Calculator'!J29*'Bulk Calculator'!L29)),1,0)</f>
        <v>1</v>
      </c>
      <c r="I309">
        <f>IFERROR(IF(AND(ISNUMBER(E309),ISNUMBER(F309),E309&gt;0,F309&gt;0),SQRT(3)*'Bulk Calculator'!O29*'Bulk Calculator'!AA29*((E309*'Bulk Calculator'!Q29)+(F309*SQRT(1-'Bulk Calculator'!Q29^2)))/'Bulk Calculator'!J29/'Bulk Calculator'!K29*100,D309*'Bulk Calculator'!AA29*'Bulk Calculator'!O29/'Bulk Calculator'!J29/'Bulk Calculator'!K29*100),"")</f>
        <v>0</v>
      </c>
      <c r="J309">
        <f>IFERROR(IF(AND(ISNUMBER(E309),ISNUMBER(F309),E309&gt;0,F309&gt;0),SQRT(3)*'Bulk Calculator'!O29*'Bulk Calculator'!U29*((E309*'Bulk Calculator'!M29)+(F309*SQRT(1-'Bulk Calculator'!M29^2)))/'Bulk Calculator'!J29/'Bulk Calculator'!K29*100,D309*'Bulk Calculator'!U29*'Bulk Calculator'!O29/'Bulk Calculator'!J29/'Bulk Calculator'!K29*100),"")</f>
        <v>0</v>
      </c>
      <c r="K309">
        <f>IFERROR(G309*B309*'Bulk Calculator'!J29/SQRT('Bulk Calculator'!S29)/1000,"")</f>
        <v>22.383040454772893</v>
      </c>
      <c r="L309">
        <f>IF(OR('Bulk Calculator'!R29="",'Bulk Calculator'!S29="",G309=""),0,IF(K309&gt;='Bulk Calculator'!R29,1,0))</f>
        <v>1</v>
      </c>
      <c r="M309">
        <f>IF(AND(H309=1,I309&lt;='OS-DORAEN'!$B$6,J309&lt;='OS-DORAEN'!$B$5,L309=1),1,0)</f>
        <v>1</v>
      </c>
      <c r="N309" t="str">
        <f t="shared" si="4"/>
        <v>R/X</v>
      </c>
    </row>
    <row r="310" spans="1:14" ht="15" customHeight="1" x14ac:dyDescent="0.35">
      <c r="A310">
        <v>29</v>
      </c>
      <c r="B310">
        <v>50</v>
      </c>
      <c r="C310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Master'!$F:$F,B310),"")</f>
        <v>142</v>
      </c>
      <c r="D310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Master'!$F:$F,B310),"")</f>
        <v>0.82</v>
      </c>
      <c r="E310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Master'!$F:$F,B310),"")</f>
        <v>0.82</v>
      </c>
      <c r="F310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Master'!$F:$F,B310),"")</f>
        <v>7.8E-2</v>
      </c>
      <c r="G310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Master'!$F:$F,B310),"")</f>
        <v>143</v>
      </c>
      <c r="H310">
        <f>IF(AND(ISNUMBER(C310),C310&gt;='Bulk Calculator'!U29/('Bulk Calculator'!J29*'Bulk Calculator'!L29)),1,0)</f>
        <v>1</v>
      </c>
      <c r="I310">
        <f>IFERROR(IF(AND(ISNUMBER(E310),ISNUMBER(F310),E310&gt;0,F310&gt;0),SQRT(3)*'Bulk Calculator'!O29*'Bulk Calculator'!AA29*((E310*'Bulk Calculator'!Q29)+(F310*SQRT(1-'Bulk Calculator'!Q29^2)))/'Bulk Calculator'!J29/'Bulk Calculator'!K29*100,D310*'Bulk Calculator'!AA29*'Bulk Calculator'!O29/'Bulk Calculator'!J29/'Bulk Calculator'!K29*100),"")</f>
        <v>0</v>
      </c>
      <c r="J310">
        <f>IFERROR(IF(AND(ISNUMBER(E310),ISNUMBER(F310),E310&gt;0,F310&gt;0),SQRT(3)*'Bulk Calculator'!O29*'Bulk Calculator'!U29*((E310*'Bulk Calculator'!M29)+(F310*SQRT(1-'Bulk Calculator'!M29^2)))/'Bulk Calculator'!J29/'Bulk Calculator'!K29*100,D310*'Bulk Calculator'!U29*'Bulk Calculator'!O29/'Bulk Calculator'!J29/'Bulk Calculator'!K29*100),"")</f>
        <v>0</v>
      </c>
      <c r="K310">
        <f>IFERROR(G310*B310*'Bulk Calculator'!J29/SQRT('Bulk Calculator'!S29)/1000,"")</f>
        <v>15.987886039123497</v>
      </c>
      <c r="L310">
        <f>IF(OR('Bulk Calculator'!R29="",'Bulk Calculator'!S29="",G310=""),0,IF(K310&gt;='Bulk Calculator'!R29,1,0))</f>
        <v>1</v>
      </c>
      <c r="M310">
        <f>IF(AND(H310=1,I310&lt;='OS-DORAEN'!$B$6,J310&lt;='OS-DORAEN'!$B$5,L310=1),1,0)</f>
        <v>1</v>
      </c>
      <c r="N310" t="str">
        <f t="shared" si="4"/>
        <v>R/X</v>
      </c>
    </row>
    <row r="311" spans="1:14" ht="15" customHeight="1" x14ac:dyDescent="0.35">
      <c r="A311">
        <v>29</v>
      </c>
      <c r="B311">
        <v>35</v>
      </c>
      <c r="C311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Master'!$F:$F,B311),"")</f>
        <v>117</v>
      </c>
      <c r="D311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Master'!$F:$F,B311),"")</f>
        <v>1.1100000000000001</v>
      </c>
      <c r="E311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Master'!$F:$F,B311),"")</f>
        <v>1.1100000000000001</v>
      </c>
      <c r="F311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Master'!$F:$F,B311),"")</f>
        <v>0.08</v>
      </c>
      <c r="G311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Master'!$F:$F,B311),"")</f>
        <v>143</v>
      </c>
      <c r="H311">
        <f>IF(AND(ISNUMBER(C311),C311&gt;='Bulk Calculator'!U29/('Bulk Calculator'!J29*'Bulk Calculator'!L29)),1,0)</f>
        <v>1</v>
      </c>
      <c r="I311">
        <f>IFERROR(IF(AND(ISNUMBER(E311),ISNUMBER(F311),E311&gt;0,F311&gt;0),SQRT(3)*'Bulk Calculator'!O29*'Bulk Calculator'!AA29*((E311*'Bulk Calculator'!Q29)+(F311*SQRT(1-'Bulk Calculator'!Q29^2)))/'Bulk Calculator'!J29/'Bulk Calculator'!K29*100,D311*'Bulk Calculator'!AA29*'Bulk Calculator'!O29/'Bulk Calculator'!J29/'Bulk Calculator'!K29*100),"")</f>
        <v>0</v>
      </c>
      <c r="J311">
        <f>IFERROR(IF(AND(ISNUMBER(E311),ISNUMBER(F311),E311&gt;0,F311&gt;0),SQRT(3)*'Bulk Calculator'!O29*'Bulk Calculator'!U29*((E311*'Bulk Calculator'!M29)+(F311*SQRT(1-'Bulk Calculator'!M29^2)))/'Bulk Calculator'!J29/'Bulk Calculator'!K29*100,D311*'Bulk Calculator'!U29*'Bulk Calculator'!O29/'Bulk Calculator'!J29/'Bulk Calculator'!K29*100),"")</f>
        <v>0</v>
      </c>
      <c r="K311">
        <f>IFERROR(G311*B311*'Bulk Calculator'!J29/SQRT('Bulk Calculator'!S29)/1000,"")</f>
        <v>11.191520227386446</v>
      </c>
      <c r="L311">
        <f>IF(OR('Bulk Calculator'!R29="",'Bulk Calculator'!S29="",G311=""),0,IF(K311&gt;='Bulk Calculator'!R29,1,0))</f>
        <v>1</v>
      </c>
      <c r="M311">
        <f>IF(AND(H311=1,I311&lt;='OS-DORAEN'!$B$6,J311&lt;='OS-DORAEN'!$B$5,L311=1),1,0)</f>
        <v>1</v>
      </c>
      <c r="N311" t="str">
        <f t="shared" si="4"/>
        <v>R/X</v>
      </c>
    </row>
    <row r="312" spans="1:14" ht="15" customHeight="1" x14ac:dyDescent="0.35">
      <c r="A312">
        <v>29</v>
      </c>
      <c r="B312">
        <v>25</v>
      </c>
      <c r="C312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Master'!$F:$F,B312),"")</f>
        <v>96</v>
      </c>
      <c r="D312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Master'!$F:$F,B312),"")</f>
        <v>1.54</v>
      </c>
      <c r="E312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Master'!$F:$F,B312),"")</f>
        <v>1.54</v>
      </c>
      <c r="F312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Master'!$F:$F,B312),"")</f>
        <v>0.08</v>
      </c>
      <c r="G312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Master'!$F:$F,B312),"")</f>
        <v>143</v>
      </c>
      <c r="H312">
        <f>IF(AND(ISNUMBER(C312),C312&gt;='Bulk Calculator'!U29/('Bulk Calculator'!J29*'Bulk Calculator'!L29)),1,0)</f>
        <v>1</v>
      </c>
      <c r="I312">
        <f>IFERROR(IF(AND(ISNUMBER(E312),ISNUMBER(F312),E312&gt;0,F312&gt;0),SQRT(3)*'Bulk Calculator'!O29*'Bulk Calculator'!AA29*((E312*'Bulk Calculator'!Q29)+(F312*SQRT(1-'Bulk Calculator'!Q29^2)))/'Bulk Calculator'!J29/'Bulk Calculator'!K29*100,D312*'Bulk Calculator'!AA29*'Bulk Calculator'!O29/'Bulk Calculator'!J29/'Bulk Calculator'!K29*100),"")</f>
        <v>0</v>
      </c>
      <c r="J312">
        <f>IFERROR(IF(AND(ISNUMBER(E312),ISNUMBER(F312),E312&gt;0,F312&gt;0),SQRT(3)*'Bulk Calculator'!O29*'Bulk Calculator'!U29*((E312*'Bulk Calculator'!M29)+(F312*SQRT(1-'Bulk Calculator'!M29^2)))/'Bulk Calculator'!J29/'Bulk Calculator'!K29*100,D312*'Bulk Calculator'!U29*'Bulk Calculator'!O29/'Bulk Calculator'!J29/'Bulk Calculator'!K29*100),"")</f>
        <v>0</v>
      </c>
      <c r="K312">
        <f>IFERROR(G312*B312*'Bulk Calculator'!J29/SQRT('Bulk Calculator'!S29)/1000,"")</f>
        <v>7.9939430195617485</v>
      </c>
      <c r="L312">
        <f>IF(OR('Bulk Calculator'!R29="",'Bulk Calculator'!S29="",G312=""),0,IF(K312&gt;='Bulk Calculator'!R29,1,0))</f>
        <v>1</v>
      </c>
      <c r="M312">
        <f>IF(AND(H312=1,I312&lt;='OS-DORAEN'!$B$6,J312&lt;='OS-DORAEN'!$B$5,L312=1),1,0)</f>
        <v>1</v>
      </c>
      <c r="N312" t="str">
        <f t="shared" si="4"/>
        <v>R/X</v>
      </c>
    </row>
    <row r="313" spans="1:14" ht="15" customHeight="1" x14ac:dyDescent="0.35">
      <c r="A313">
        <v>29</v>
      </c>
      <c r="B313">
        <v>16</v>
      </c>
      <c r="C313">
        <f>IFERROR(SUMIFS('Cable Data Master'!$G:$G,'Cable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Master'!$F:$F,B313),"")</f>
        <v>0</v>
      </c>
      <c r="D313">
        <f>IFERROR(SUMIFS('Cable Data Master'!$K:$K,'Cable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Master'!$F:$F,B313),"")</f>
        <v>0</v>
      </c>
      <c r="E313">
        <f>IFERROR(SUMIFS('Cable Data Master'!$H:$H,'Cable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Master'!$F:$F,B313),"")</f>
        <v>0</v>
      </c>
      <c r="F313">
        <f>IFERROR(SUMIFS('Cable Data Master'!$I:$I,'Cable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Master'!$F:$F,B313),"")</f>
        <v>0</v>
      </c>
      <c r="G313">
        <f>IFERROR(SUMIFS('Cable Data Master'!$J:$J,'Cable Data Master'!$A:$A,'Bulk Calculator'!$BF29,'Cable Data Master'!$B:$B,'Bulk Calculator'!$BG29,'Cable Data Master'!$C:$C,'Bulk Calculator'!$BH29,'Cable Data Master'!$D:$D,'Bulk Calculator'!$BI29,'Cable Data Master'!$E:$E,'Bulk Calculator'!$BJ29,'Cable Data Master'!$F:$F,B313),"")</f>
        <v>0</v>
      </c>
      <c r="H313">
        <f>IF(AND(ISNUMBER(C313),C313&gt;='Bulk Calculator'!U29/('Bulk Calculator'!J29*'Bulk Calculator'!L29)),1,0)</f>
        <v>1</v>
      </c>
      <c r="I313">
        <f>IFERROR(IF(AND(ISNUMBER(E313),ISNUMBER(F313),E313&gt;0,F313&gt;0),SQRT(3)*'Bulk Calculator'!O29*'Bulk Calculator'!AA29*((E313*'Bulk Calculator'!Q29)+(F313*SQRT(1-'Bulk Calculator'!Q29^2)))/'Bulk Calculator'!J29/'Bulk Calculator'!K29*100,D313*'Bulk Calculator'!AA29*'Bulk Calculator'!O29/'Bulk Calculator'!J29/'Bulk Calculator'!K29*100),"")</f>
        <v>0</v>
      </c>
      <c r="J313">
        <f>IFERROR(IF(AND(ISNUMBER(E313),ISNUMBER(F313),E313&gt;0,F313&gt;0),SQRT(3)*'Bulk Calculator'!O29*'Bulk Calculator'!U29*((E313*'Bulk Calculator'!M29)+(F313*SQRT(1-'Bulk Calculator'!M29^2)))/'Bulk Calculator'!J29/'Bulk Calculator'!K29*100,D313*'Bulk Calculator'!U29*'Bulk Calculator'!O29/'Bulk Calculator'!J29/'Bulk Calculator'!K29*100),"")</f>
        <v>0</v>
      </c>
      <c r="K313">
        <f>IFERROR(G313*B313*'Bulk Calculator'!J29/SQRT('Bulk Calculator'!S29)/1000,"")</f>
        <v>0</v>
      </c>
      <c r="L313">
        <f>IF(OR('Bulk Calculator'!R29="",'Bulk Calculator'!S29="",G313=""),0,IF(K313&gt;='Bulk Calculator'!R29,1,0))</f>
        <v>1</v>
      </c>
      <c r="M313">
        <f>IF(AND(H313=1,I313&lt;='OS-DORAEN'!$B$6,J313&lt;='OS-DORAEN'!$B$5,L313=1),1,0)</f>
        <v>1</v>
      </c>
      <c r="N313" t="str">
        <f t="shared" si="4"/>
        <v>Manufacturer VD Ref</v>
      </c>
    </row>
    <row r="314" spans="1:14" ht="15" customHeight="1" x14ac:dyDescent="0.35">
      <c r="A314">
        <v>30</v>
      </c>
      <c r="B314">
        <v>400</v>
      </c>
      <c r="C314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Master'!$F:$F,B314),"")</f>
        <v>530</v>
      </c>
      <c r="D314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Master'!$F:$F,B314),"")</f>
        <v>0.1023</v>
      </c>
      <c r="E314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Master'!$F:$F,B314),"")</f>
        <v>0.1023</v>
      </c>
      <c r="F314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Master'!$F:$F,B314),"")</f>
        <v>7.0000000000000007E-2</v>
      </c>
      <c r="G314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Master'!$F:$F,B314),"")</f>
        <v>143</v>
      </c>
      <c r="H314">
        <f>IF(AND(ISNUMBER(C314),C314&gt;='Bulk Calculator'!U30/('Bulk Calculator'!J30*'Bulk Calculator'!L30)),1,0)</f>
        <v>1</v>
      </c>
      <c r="I314">
        <f>IFERROR(IF(AND(ISNUMBER(E314),ISNUMBER(F314),E314&gt;0,F314&gt;0),SQRT(3)*'Bulk Calculator'!O30*'Bulk Calculator'!AA30*((E314*'Bulk Calculator'!Q30)+(F314*SQRT(1-'Bulk Calculator'!Q30^2)))/'Bulk Calculator'!J30/'Bulk Calculator'!K30*100,D314*'Bulk Calculator'!AA30*'Bulk Calculator'!O30/'Bulk Calculator'!J30/'Bulk Calculator'!K30*100),"")</f>
        <v>0</v>
      </c>
      <c r="J314">
        <f>IFERROR(IF(AND(ISNUMBER(E314),ISNUMBER(F314),E314&gt;0,F314&gt;0),SQRT(3)*'Bulk Calculator'!O30*'Bulk Calculator'!U30*((E314*'Bulk Calculator'!M30)+(F314*SQRT(1-'Bulk Calculator'!M30^2)))/'Bulk Calculator'!J30/'Bulk Calculator'!K30*100,D314*'Bulk Calculator'!U30*'Bulk Calculator'!O30/'Bulk Calculator'!J30/'Bulk Calculator'!K30*100),"")</f>
        <v>0</v>
      </c>
      <c r="K314">
        <f>IFERROR(G314*B314*'Bulk Calculator'!J30/SQRT('Bulk Calculator'!S30)/1000,"")</f>
        <v>127.90308831298798</v>
      </c>
      <c r="L314">
        <f>IF(OR('Bulk Calculator'!R30="",'Bulk Calculator'!S30="",G314=""),0,IF(K314&gt;='Bulk Calculator'!R30,1,0))</f>
        <v>1</v>
      </c>
      <c r="M314">
        <f>IF(AND(H314=1,I314&lt;='OS-DORAEN'!$B$6,J314&lt;='OS-DORAEN'!$B$5,L314=1),1,0)</f>
        <v>1</v>
      </c>
      <c r="N314" t="str">
        <f t="shared" si="4"/>
        <v>R/X</v>
      </c>
    </row>
    <row r="315" spans="1:14" ht="15" customHeight="1" x14ac:dyDescent="0.35">
      <c r="A315">
        <v>30</v>
      </c>
      <c r="B315">
        <v>300</v>
      </c>
      <c r="C315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Master'!$F:$F,B315),"")</f>
        <v>455</v>
      </c>
      <c r="D315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Master'!$F:$F,B315),"")</f>
        <v>0.13</v>
      </c>
      <c r="E315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Master'!$F:$F,B315),"")</f>
        <v>0.13</v>
      </c>
      <c r="F315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Master'!$F:$F,B315),"")</f>
        <v>7.0999999999999994E-2</v>
      </c>
      <c r="G315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Master'!$F:$F,B315),"")</f>
        <v>143</v>
      </c>
      <c r="H315">
        <f>IF(AND(ISNUMBER(C315),C315&gt;='Bulk Calculator'!U30/('Bulk Calculator'!J30*'Bulk Calculator'!L30)),1,0)</f>
        <v>1</v>
      </c>
      <c r="I315">
        <f>IFERROR(IF(AND(ISNUMBER(E315),ISNUMBER(F315),E315&gt;0,F315&gt;0),SQRT(3)*'Bulk Calculator'!O30*'Bulk Calculator'!AA30*((E315*'Bulk Calculator'!Q30)+(F315*SQRT(1-'Bulk Calculator'!Q30^2)))/'Bulk Calculator'!J30/'Bulk Calculator'!K30*100,D315*'Bulk Calculator'!AA30*'Bulk Calculator'!O30/'Bulk Calculator'!J30/'Bulk Calculator'!K30*100),"")</f>
        <v>0</v>
      </c>
      <c r="J315">
        <f>IFERROR(IF(AND(ISNUMBER(E315),ISNUMBER(F315),E315&gt;0,F315&gt;0),SQRT(3)*'Bulk Calculator'!O30*'Bulk Calculator'!U30*((E315*'Bulk Calculator'!M30)+(F315*SQRT(1-'Bulk Calculator'!M30^2)))/'Bulk Calculator'!J30/'Bulk Calculator'!K30*100,D315*'Bulk Calculator'!U30*'Bulk Calculator'!O30/'Bulk Calculator'!J30/'Bulk Calculator'!K30*100),"")</f>
        <v>0</v>
      </c>
      <c r="K315">
        <f>IFERROR(G315*B315*'Bulk Calculator'!J30/SQRT('Bulk Calculator'!S30)/1000,"")</f>
        <v>95.927316234740985</v>
      </c>
      <c r="L315">
        <f>IF(OR('Bulk Calculator'!R30="",'Bulk Calculator'!S30="",G315=""),0,IF(K315&gt;='Bulk Calculator'!R30,1,0))</f>
        <v>1</v>
      </c>
      <c r="M315">
        <f>IF(AND(H315=1,I315&lt;='OS-DORAEN'!$B$6,J315&lt;='OS-DORAEN'!$B$5,L315=1),1,0)</f>
        <v>1</v>
      </c>
      <c r="N315" t="str">
        <f t="shared" si="4"/>
        <v>R/X</v>
      </c>
    </row>
    <row r="316" spans="1:14" ht="15" customHeight="1" x14ac:dyDescent="0.35">
      <c r="A316">
        <v>30</v>
      </c>
      <c r="B316">
        <v>240</v>
      </c>
      <c r="C316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Master'!$F:$F,B316),"")</f>
        <v>399</v>
      </c>
      <c r="D316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Master'!$F:$F,B316),"")</f>
        <v>0.16200000000000001</v>
      </c>
      <c r="E316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Master'!$F:$F,B316),"")</f>
        <v>0.16200000000000001</v>
      </c>
      <c r="F316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Master'!$F:$F,B316),"")</f>
        <v>7.1999999999999995E-2</v>
      </c>
      <c r="G316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Master'!$F:$F,B316),"")</f>
        <v>143</v>
      </c>
      <c r="H316">
        <f>IF(AND(ISNUMBER(C316),C316&gt;='Bulk Calculator'!U30/('Bulk Calculator'!J30*'Bulk Calculator'!L30)),1,0)</f>
        <v>1</v>
      </c>
      <c r="I316">
        <f>IFERROR(IF(AND(ISNUMBER(E316),ISNUMBER(F316),E316&gt;0,F316&gt;0),SQRT(3)*'Bulk Calculator'!O30*'Bulk Calculator'!AA30*((E316*'Bulk Calculator'!Q30)+(F316*SQRT(1-'Bulk Calculator'!Q30^2)))/'Bulk Calculator'!J30/'Bulk Calculator'!K30*100,D316*'Bulk Calculator'!AA30*'Bulk Calculator'!O30/'Bulk Calculator'!J30/'Bulk Calculator'!K30*100),"")</f>
        <v>0</v>
      </c>
      <c r="J316">
        <f>IFERROR(IF(AND(ISNUMBER(E316),ISNUMBER(F316),E316&gt;0,F316&gt;0),SQRT(3)*'Bulk Calculator'!O30*'Bulk Calculator'!U30*((E316*'Bulk Calculator'!M30)+(F316*SQRT(1-'Bulk Calculator'!M30^2)))/'Bulk Calculator'!J30/'Bulk Calculator'!K30*100,D316*'Bulk Calculator'!U30*'Bulk Calculator'!O30/'Bulk Calculator'!J30/'Bulk Calculator'!K30*100),"")</f>
        <v>0</v>
      </c>
      <c r="K316">
        <f>IFERROR(G316*B316*'Bulk Calculator'!J30/SQRT('Bulk Calculator'!S30)/1000,"")</f>
        <v>76.741852987792782</v>
      </c>
      <c r="L316">
        <f>IF(OR('Bulk Calculator'!R30="",'Bulk Calculator'!S30="",G316=""),0,IF(K316&gt;='Bulk Calculator'!R30,1,0))</f>
        <v>1</v>
      </c>
      <c r="M316">
        <f>IF(AND(H316=1,I316&lt;='OS-DORAEN'!$B$6,J316&lt;='OS-DORAEN'!$B$5,L316=1),1,0)</f>
        <v>1</v>
      </c>
      <c r="N316" t="str">
        <f t="shared" si="4"/>
        <v>R/X</v>
      </c>
    </row>
    <row r="317" spans="1:14" ht="15" customHeight="1" x14ac:dyDescent="0.35">
      <c r="A317">
        <v>30</v>
      </c>
      <c r="B317">
        <v>185</v>
      </c>
      <c r="C317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Master'!$F:$F,B317),"")</f>
        <v>337</v>
      </c>
      <c r="D317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Master'!$F:$F,B317),"")</f>
        <v>0.21099999999999999</v>
      </c>
      <c r="E317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Master'!$F:$F,B317),"")</f>
        <v>0.21099999999999999</v>
      </c>
      <c r="F317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Master'!$F:$F,B317),"")</f>
        <v>7.1999999999999995E-2</v>
      </c>
      <c r="G317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Master'!$F:$F,B317),"")</f>
        <v>143</v>
      </c>
      <c r="H317">
        <f>IF(AND(ISNUMBER(C317),C317&gt;='Bulk Calculator'!U30/('Bulk Calculator'!J30*'Bulk Calculator'!L30)),1,0)</f>
        <v>1</v>
      </c>
      <c r="I317">
        <f>IFERROR(IF(AND(ISNUMBER(E317),ISNUMBER(F317),E317&gt;0,F317&gt;0),SQRT(3)*'Bulk Calculator'!O30*'Bulk Calculator'!AA30*((E317*'Bulk Calculator'!Q30)+(F317*SQRT(1-'Bulk Calculator'!Q30^2)))/'Bulk Calculator'!J30/'Bulk Calculator'!K30*100,D317*'Bulk Calculator'!AA30*'Bulk Calculator'!O30/'Bulk Calculator'!J30/'Bulk Calculator'!K30*100),"")</f>
        <v>0</v>
      </c>
      <c r="J317">
        <f>IFERROR(IF(AND(ISNUMBER(E317),ISNUMBER(F317),E317&gt;0,F317&gt;0),SQRT(3)*'Bulk Calculator'!O30*'Bulk Calculator'!U30*((E317*'Bulk Calculator'!M30)+(F317*SQRT(1-'Bulk Calculator'!M30^2)))/'Bulk Calculator'!J30/'Bulk Calculator'!K30*100,D317*'Bulk Calculator'!U30*'Bulk Calculator'!O30/'Bulk Calculator'!J30/'Bulk Calculator'!K30*100),"")</f>
        <v>0</v>
      </c>
      <c r="K317">
        <f>IFERROR(G317*B317*'Bulk Calculator'!J30/SQRT('Bulk Calculator'!S30)/1000,"")</f>
        <v>59.155178344756941</v>
      </c>
      <c r="L317">
        <f>IF(OR('Bulk Calculator'!R30="",'Bulk Calculator'!S30="",G317=""),0,IF(K317&gt;='Bulk Calculator'!R30,1,0))</f>
        <v>1</v>
      </c>
      <c r="M317">
        <f>IF(AND(H317=1,I317&lt;='OS-DORAEN'!$B$6,J317&lt;='OS-DORAEN'!$B$5,L317=1),1,0)</f>
        <v>1</v>
      </c>
      <c r="N317" t="str">
        <f t="shared" si="4"/>
        <v>R/X</v>
      </c>
    </row>
    <row r="318" spans="1:14" ht="15" customHeight="1" x14ac:dyDescent="0.35">
      <c r="A318">
        <v>30</v>
      </c>
      <c r="B318">
        <v>150</v>
      </c>
      <c r="C318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Master'!$F:$F,B318),"")</f>
        <v>292</v>
      </c>
      <c r="D318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Master'!$F:$F,B318),"")</f>
        <v>0.26500000000000001</v>
      </c>
      <c r="E318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Master'!$F:$F,B318),"")</f>
        <v>0.26500000000000001</v>
      </c>
      <c r="F318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Master'!$F:$F,B318),"")</f>
        <v>7.1999999999999995E-2</v>
      </c>
      <c r="G318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Master'!$F:$F,B318),"")</f>
        <v>143</v>
      </c>
      <c r="H318">
        <f>IF(AND(ISNUMBER(C318),C318&gt;='Bulk Calculator'!U30/('Bulk Calculator'!J30*'Bulk Calculator'!L30)),1,0)</f>
        <v>1</v>
      </c>
      <c r="I318">
        <f>IFERROR(IF(AND(ISNUMBER(E318),ISNUMBER(F318),E318&gt;0,F318&gt;0),SQRT(3)*'Bulk Calculator'!O30*'Bulk Calculator'!AA30*((E318*'Bulk Calculator'!Q30)+(F318*SQRT(1-'Bulk Calculator'!Q30^2)))/'Bulk Calculator'!J30/'Bulk Calculator'!K30*100,D318*'Bulk Calculator'!AA30*'Bulk Calculator'!O30/'Bulk Calculator'!J30/'Bulk Calculator'!K30*100),"")</f>
        <v>0</v>
      </c>
      <c r="J318">
        <f>IFERROR(IF(AND(ISNUMBER(E318),ISNUMBER(F318),E318&gt;0,F318&gt;0),SQRT(3)*'Bulk Calculator'!O30*'Bulk Calculator'!U30*((E318*'Bulk Calculator'!M30)+(F318*SQRT(1-'Bulk Calculator'!M30^2)))/'Bulk Calculator'!J30/'Bulk Calculator'!K30*100,D318*'Bulk Calculator'!U30*'Bulk Calculator'!O30/'Bulk Calculator'!J30/'Bulk Calculator'!K30*100),"")</f>
        <v>0</v>
      </c>
      <c r="K318">
        <f>IFERROR(G318*B318*'Bulk Calculator'!J30/SQRT('Bulk Calculator'!S30)/1000,"")</f>
        <v>47.963658117370493</v>
      </c>
      <c r="L318">
        <f>IF(OR('Bulk Calculator'!R30="",'Bulk Calculator'!S30="",G318=""),0,IF(K318&gt;='Bulk Calculator'!R30,1,0))</f>
        <v>1</v>
      </c>
      <c r="M318">
        <f>IF(AND(H318=1,I318&lt;='OS-DORAEN'!$B$6,J318&lt;='OS-DORAEN'!$B$5,L318=1),1,0)</f>
        <v>1</v>
      </c>
      <c r="N318" t="str">
        <f t="shared" si="4"/>
        <v>R/X</v>
      </c>
    </row>
    <row r="319" spans="1:14" ht="15" customHeight="1" x14ac:dyDescent="0.35">
      <c r="A319">
        <v>30</v>
      </c>
      <c r="B319">
        <v>120</v>
      </c>
      <c r="C319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Master'!$F:$F,B319),"")</f>
        <v>257</v>
      </c>
      <c r="D319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Master'!$F:$F,B319),"")</f>
        <v>0.32500000000000001</v>
      </c>
      <c r="E319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Master'!$F:$F,B319),"")</f>
        <v>0.32500000000000001</v>
      </c>
      <c r="F319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Master'!$F:$F,B319),"")</f>
        <v>7.1999999999999995E-2</v>
      </c>
      <c r="G319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Master'!$F:$F,B319),"")</f>
        <v>143</v>
      </c>
      <c r="H319">
        <f>IF(AND(ISNUMBER(C319),C319&gt;='Bulk Calculator'!U30/('Bulk Calculator'!J30*'Bulk Calculator'!L30)),1,0)</f>
        <v>1</v>
      </c>
      <c r="I319">
        <f>IFERROR(IF(AND(ISNUMBER(E319),ISNUMBER(F319),E319&gt;0,F319&gt;0),SQRT(3)*'Bulk Calculator'!O30*'Bulk Calculator'!AA30*((E319*'Bulk Calculator'!Q30)+(F319*SQRT(1-'Bulk Calculator'!Q30^2)))/'Bulk Calculator'!J30/'Bulk Calculator'!K30*100,D319*'Bulk Calculator'!AA30*'Bulk Calculator'!O30/'Bulk Calculator'!J30/'Bulk Calculator'!K30*100),"")</f>
        <v>0</v>
      </c>
      <c r="J319">
        <f>IFERROR(IF(AND(ISNUMBER(E319),ISNUMBER(F319),E319&gt;0,F319&gt;0),SQRT(3)*'Bulk Calculator'!O30*'Bulk Calculator'!U30*((E319*'Bulk Calculator'!M30)+(F319*SQRT(1-'Bulk Calculator'!M30^2)))/'Bulk Calculator'!J30/'Bulk Calculator'!K30*100,D319*'Bulk Calculator'!U30*'Bulk Calculator'!O30/'Bulk Calculator'!J30/'Bulk Calculator'!K30*100),"")</f>
        <v>0</v>
      </c>
      <c r="K319">
        <f>IFERROR(G319*B319*'Bulk Calculator'!J30/SQRT('Bulk Calculator'!S30)/1000,"")</f>
        <v>38.370926493896391</v>
      </c>
      <c r="L319">
        <f>IF(OR('Bulk Calculator'!R30="",'Bulk Calculator'!S30="",G319=""),0,IF(K319&gt;='Bulk Calculator'!R30,1,0))</f>
        <v>1</v>
      </c>
      <c r="M319">
        <f>IF(AND(H319=1,I319&lt;='OS-DORAEN'!$B$6,J319&lt;='OS-DORAEN'!$B$5,L319=1),1,0)</f>
        <v>1</v>
      </c>
      <c r="N319" t="str">
        <f t="shared" si="4"/>
        <v>R/X</v>
      </c>
    </row>
    <row r="320" spans="1:14" ht="15" customHeight="1" x14ac:dyDescent="0.35">
      <c r="A320">
        <v>30</v>
      </c>
      <c r="B320">
        <v>95</v>
      </c>
      <c r="C320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Master'!$F:$F,B320),"")</f>
        <v>221</v>
      </c>
      <c r="D320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Master'!$F:$F,B320),"")</f>
        <v>0.41</v>
      </c>
      <c r="E320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Master'!$F:$F,B320),"")</f>
        <v>0.41</v>
      </c>
      <c r="F320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Master'!$F:$F,B320),"")</f>
        <v>7.3999999999999996E-2</v>
      </c>
      <c r="G320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Master'!$F:$F,B320),"")</f>
        <v>143</v>
      </c>
      <c r="H320">
        <f>IF(AND(ISNUMBER(C320),C320&gt;='Bulk Calculator'!U30/('Bulk Calculator'!J30*'Bulk Calculator'!L30)),1,0)</f>
        <v>1</v>
      </c>
      <c r="I320">
        <f>IFERROR(IF(AND(ISNUMBER(E320),ISNUMBER(F320),E320&gt;0,F320&gt;0),SQRT(3)*'Bulk Calculator'!O30*'Bulk Calculator'!AA30*((E320*'Bulk Calculator'!Q30)+(F320*SQRT(1-'Bulk Calculator'!Q30^2)))/'Bulk Calculator'!J30/'Bulk Calculator'!K30*100,D320*'Bulk Calculator'!AA30*'Bulk Calculator'!O30/'Bulk Calculator'!J30/'Bulk Calculator'!K30*100),"")</f>
        <v>0</v>
      </c>
      <c r="J320">
        <f>IFERROR(IF(AND(ISNUMBER(E320),ISNUMBER(F320),E320&gt;0,F320&gt;0),SQRT(3)*'Bulk Calculator'!O30*'Bulk Calculator'!U30*((E320*'Bulk Calculator'!M30)+(F320*SQRT(1-'Bulk Calculator'!M30^2)))/'Bulk Calculator'!J30/'Bulk Calculator'!K30*100,D320*'Bulk Calculator'!U30*'Bulk Calculator'!O30/'Bulk Calculator'!J30/'Bulk Calculator'!K30*100),"")</f>
        <v>0</v>
      </c>
      <c r="K320">
        <f>IFERROR(G320*B320*'Bulk Calculator'!J30/SQRT('Bulk Calculator'!S30)/1000,"")</f>
        <v>30.376983474334644</v>
      </c>
      <c r="L320">
        <f>IF(OR('Bulk Calculator'!R30="",'Bulk Calculator'!S30="",G320=""),0,IF(K320&gt;='Bulk Calculator'!R30,1,0))</f>
        <v>1</v>
      </c>
      <c r="M320">
        <f>IF(AND(H320=1,I320&lt;='OS-DORAEN'!$B$6,J320&lt;='OS-DORAEN'!$B$5,L320=1),1,0)</f>
        <v>1</v>
      </c>
      <c r="N320" t="str">
        <f t="shared" si="4"/>
        <v>R/X</v>
      </c>
    </row>
    <row r="321" spans="1:14" ht="15" customHeight="1" x14ac:dyDescent="0.35">
      <c r="A321">
        <v>30</v>
      </c>
      <c r="B321">
        <v>70</v>
      </c>
      <c r="C321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Master'!$F:$F,B321),"")</f>
        <v>179</v>
      </c>
      <c r="D321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Master'!$F:$F,B321),"")</f>
        <v>0.56699999999999995</v>
      </c>
      <c r="E321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Master'!$F:$F,B321),"")</f>
        <v>0.56699999999999995</v>
      </c>
      <c r="F321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Master'!$F:$F,B321),"")</f>
        <v>7.6999999999999999E-2</v>
      </c>
      <c r="G321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Master'!$F:$F,B321),"")</f>
        <v>143</v>
      </c>
      <c r="H321">
        <f>IF(AND(ISNUMBER(C321),C321&gt;='Bulk Calculator'!U30/('Bulk Calculator'!J30*'Bulk Calculator'!L30)),1,0)</f>
        <v>1</v>
      </c>
      <c r="I321">
        <f>IFERROR(IF(AND(ISNUMBER(E321),ISNUMBER(F321),E321&gt;0,F321&gt;0),SQRT(3)*'Bulk Calculator'!O30*'Bulk Calculator'!AA30*((E321*'Bulk Calculator'!Q30)+(F321*SQRT(1-'Bulk Calculator'!Q30^2)))/'Bulk Calculator'!J30/'Bulk Calculator'!K30*100,D321*'Bulk Calculator'!AA30*'Bulk Calculator'!O30/'Bulk Calculator'!J30/'Bulk Calculator'!K30*100),"")</f>
        <v>0</v>
      </c>
      <c r="J321">
        <f>IFERROR(IF(AND(ISNUMBER(E321),ISNUMBER(F321),E321&gt;0,F321&gt;0),SQRT(3)*'Bulk Calculator'!O30*'Bulk Calculator'!U30*((E321*'Bulk Calculator'!M30)+(F321*SQRT(1-'Bulk Calculator'!M30^2)))/'Bulk Calculator'!J30/'Bulk Calculator'!K30*100,D321*'Bulk Calculator'!U30*'Bulk Calculator'!O30/'Bulk Calculator'!J30/'Bulk Calculator'!K30*100),"")</f>
        <v>0</v>
      </c>
      <c r="K321">
        <f>IFERROR(G321*B321*'Bulk Calculator'!J30/SQRT('Bulk Calculator'!S30)/1000,"")</f>
        <v>22.383040454772893</v>
      </c>
      <c r="L321">
        <f>IF(OR('Bulk Calculator'!R30="",'Bulk Calculator'!S30="",G321=""),0,IF(K321&gt;='Bulk Calculator'!R30,1,0))</f>
        <v>1</v>
      </c>
      <c r="M321">
        <f>IF(AND(H321=1,I321&lt;='OS-DORAEN'!$B$6,J321&lt;='OS-DORAEN'!$B$5,L321=1),1,0)</f>
        <v>1</v>
      </c>
      <c r="N321" t="str">
        <f t="shared" si="4"/>
        <v>R/X</v>
      </c>
    </row>
    <row r="322" spans="1:14" ht="15" customHeight="1" x14ac:dyDescent="0.35">
      <c r="A322">
        <v>30</v>
      </c>
      <c r="B322">
        <v>50</v>
      </c>
      <c r="C322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Master'!$F:$F,B322),"")</f>
        <v>142</v>
      </c>
      <c r="D322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Master'!$F:$F,B322),"")</f>
        <v>0.82</v>
      </c>
      <c r="E322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Master'!$F:$F,B322),"")</f>
        <v>0.82</v>
      </c>
      <c r="F322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Master'!$F:$F,B322),"")</f>
        <v>7.8E-2</v>
      </c>
      <c r="G322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Master'!$F:$F,B322),"")</f>
        <v>143</v>
      </c>
      <c r="H322">
        <f>IF(AND(ISNUMBER(C322),C322&gt;='Bulk Calculator'!U30/('Bulk Calculator'!J30*'Bulk Calculator'!L30)),1,0)</f>
        <v>1</v>
      </c>
      <c r="I322">
        <f>IFERROR(IF(AND(ISNUMBER(E322),ISNUMBER(F322),E322&gt;0,F322&gt;0),SQRT(3)*'Bulk Calculator'!O30*'Bulk Calculator'!AA30*((E322*'Bulk Calculator'!Q30)+(F322*SQRT(1-'Bulk Calculator'!Q30^2)))/'Bulk Calculator'!J30/'Bulk Calculator'!K30*100,D322*'Bulk Calculator'!AA30*'Bulk Calculator'!O30/'Bulk Calculator'!J30/'Bulk Calculator'!K30*100),"")</f>
        <v>0</v>
      </c>
      <c r="J322">
        <f>IFERROR(IF(AND(ISNUMBER(E322),ISNUMBER(F322),E322&gt;0,F322&gt;0),SQRT(3)*'Bulk Calculator'!O30*'Bulk Calculator'!U30*((E322*'Bulk Calculator'!M30)+(F322*SQRT(1-'Bulk Calculator'!M30^2)))/'Bulk Calculator'!J30/'Bulk Calculator'!K30*100,D322*'Bulk Calculator'!U30*'Bulk Calculator'!O30/'Bulk Calculator'!J30/'Bulk Calculator'!K30*100),"")</f>
        <v>0</v>
      </c>
      <c r="K322">
        <f>IFERROR(G322*B322*'Bulk Calculator'!J30/SQRT('Bulk Calculator'!S30)/1000,"")</f>
        <v>15.987886039123497</v>
      </c>
      <c r="L322">
        <f>IF(OR('Bulk Calculator'!R30="",'Bulk Calculator'!S30="",G322=""),0,IF(K322&gt;='Bulk Calculator'!R30,1,0))</f>
        <v>1</v>
      </c>
      <c r="M322">
        <f>IF(AND(H322=1,I322&lt;='OS-DORAEN'!$B$6,J322&lt;='OS-DORAEN'!$B$5,L322=1),1,0)</f>
        <v>1</v>
      </c>
      <c r="N322" t="str">
        <f t="shared" ref="N322:N385" si="5">IF(AND(ISNUMBER(E322),ISNUMBER(F322),E322&gt;0,F322&gt;0),"R/X","Manufacturer VD Ref")</f>
        <v>R/X</v>
      </c>
    </row>
    <row r="323" spans="1:14" ht="15" customHeight="1" x14ac:dyDescent="0.35">
      <c r="A323">
        <v>30</v>
      </c>
      <c r="B323">
        <v>35</v>
      </c>
      <c r="C323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Master'!$F:$F,B323),"")</f>
        <v>117</v>
      </c>
      <c r="D323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Master'!$F:$F,B323),"")</f>
        <v>1.1100000000000001</v>
      </c>
      <c r="E323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Master'!$F:$F,B323),"")</f>
        <v>1.1100000000000001</v>
      </c>
      <c r="F323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Master'!$F:$F,B323),"")</f>
        <v>0.08</v>
      </c>
      <c r="G323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Master'!$F:$F,B323),"")</f>
        <v>143</v>
      </c>
      <c r="H323">
        <f>IF(AND(ISNUMBER(C323),C323&gt;='Bulk Calculator'!U30/('Bulk Calculator'!J30*'Bulk Calculator'!L30)),1,0)</f>
        <v>1</v>
      </c>
      <c r="I323">
        <f>IFERROR(IF(AND(ISNUMBER(E323),ISNUMBER(F323),E323&gt;0,F323&gt;0),SQRT(3)*'Bulk Calculator'!O30*'Bulk Calculator'!AA30*((E323*'Bulk Calculator'!Q30)+(F323*SQRT(1-'Bulk Calculator'!Q30^2)))/'Bulk Calculator'!J30/'Bulk Calculator'!K30*100,D323*'Bulk Calculator'!AA30*'Bulk Calculator'!O30/'Bulk Calculator'!J30/'Bulk Calculator'!K30*100),"")</f>
        <v>0</v>
      </c>
      <c r="J323">
        <f>IFERROR(IF(AND(ISNUMBER(E323),ISNUMBER(F323),E323&gt;0,F323&gt;0),SQRT(3)*'Bulk Calculator'!O30*'Bulk Calculator'!U30*((E323*'Bulk Calculator'!M30)+(F323*SQRT(1-'Bulk Calculator'!M30^2)))/'Bulk Calculator'!J30/'Bulk Calculator'!K30*100,D323*'Bulk Calculator'!U30*'Bulk Calculator'!O30/'Bulk Calculator'!J30/'Bulk Calculator'!K30*100),"")</f>
        <v>0</v>
      </c>
      <c r="K323">
        <f>IFERROR(G323*B323*'Bulk Calculator'!J30/SQRT('Bulk Calculator'!S30)/1000,"")</f>
        <v>11.191520227386446</v>
      </c>
      <c r="L323">
        <f>IF(OR('Bulk Calculator'!R30="",'Bulk Calculator'!S30="",G323=""),0,IF(K323&gt;='Bulk Calculator'!R30,1,0))</f>
        <v>1</v>
      </c>
      <c r="M323">
        <f>IF(AND(H323=1,I323&lt;='OS-DORAEN'!$B$6,J323&lt;='OS-DORAEN'!$B$5,L323=1),1,0)</f>
        <v>1</v>
      </c>
      <c r="N323" t="str">
        <f t="shared" si="5"/>
        <v>R/X</v>
      </c>
    </row>
    <row r="324" spans="1:14" ht="15" customHeight="1" x14ac:dyDescent="0.35">
      <c r="A324">
        <v>30</v>
      </c>
      <c r="B324">
        <v>25</v>
      </c>
      <c r="C324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Master'!$F:$F,B324),"")</f>
        <v>96</v>
      </c>
      <c r="D324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Master'!$F:$F,B324),"")</f>
        <v>1.54</v>
      </c>
      <c r="E324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Master'!$F:$F,B324),"")</f>
        <v>1.54</v>
      </c>
      <c r="F324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Master'!$F:$F,B324),"")</f>
        <v>0.08</v>
      </c>
      <c r="G324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Master'!$F:$F,B324),"")</f>
        <v>143</v>
      </c>
      <c r="H324">
        <f>IF(AND(ISNUMBER(C324),C324&gt;='Bulk Calculator'!U30/('Bulk Calculator'!J30*'Bulk Calculator'!L30)),1,0)</f>
        <v>1</v>
      </c>
      <c r="I324">
        <f>IFERROR(IF(AND(ISNUMBER(E324),ISNUMBER(F324),E324&gt;0,F324&gt;0),SQRT(3)*'Bulk Calculator'!O30*'Bulk Calculator'!AA30*((E324*'Bulk Calculator'!Q30)+(F324*SQRT(1-'Bulk Calculator'!Q30^2)))/'Bulk Calculator'!J30/'Bulk Calculator'!K30*100,D324*'Bulk Calculator'!AA30*'Bulk Calculator'!O30/'Bulk Calculator'!J30/'Bulk Calculator'!K30*100),"")</f>
        <v>0</v>
      </c>
      <c r="J324">
        <f>IFERROR(IF(AND(ISNUMBER(E324),ISNUMBER(F324),E324&gt;0,F324&gt;0),SQRT(3)*'Bulk Calculator'!O30*'Bulk Calculator'!U30*((E324*'Bulk Calculator'!M30)+(F324*SQRT(1-'Bulk Calculator'!M30^2)))/'Bulk Calculator'!J30/'Bulk Calculator'!K30*100,D324*'Bulk Calculator'!U30*'Bulk Calculator'!O30/'Bulk Calculator'!J30/'Bulk Calculator'!K30*100),"")</f>
        <v>0</v>
      </c>
      <c r="K324">
        <f>IFERROR(G324*B324*'Bulk Calculator'!J30/SQRT('Bulk Calculator'!S30)/1000,"")</f>
        <v>7.9939430195617485</v>
      </c>
      <c r="L324">
        <f>IF(OR('Bulk Calculator'!R30="",'Bulk Calculator'!S30="",G324=""),0,IF(K324&gt;='Bulk Calculator'!R30,1,0))</f>
        <v>1</v>
      </c>
      <c r="M324">
        <f>IF(AND(H324=1,I324&lt;='OS-DORAEN'!$B$6,J324&lt;='OS-DORAEN'!$B$5,L324=1),1,0)</f>
        <v>1</v>
      </c>
      <c r="N324" t="str">
        <f t="shared" si="5"/>
        <v>R/X</v>
      </c>
    </row>
    <row r="325" spans="1:14" ht="15" customHeight="1" x14ac:dyDescent="0.35">
      <c r="A325">
        <v>30</v>
      </c>
      <c r="B325">
        <v>16</v>
      </c>
      <c r="C325">
        <f>IFERROR(SUMIFS('Cable Data Master'!$G:$G,'Cable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Master'!$F:$F,B325),"")</f>
        <v>0</v>
      </c>
      <c r="D325">
        <f>IFERROR(SUMIFS('Cable Data Master'!$K:$K,'Cable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Master'!$F:$F,B325),"")</f>
        <v>0</v>
      </c>
      <c r="E325">
        <f>IFERROR(SUMIFS('Cable Data Master'!$H:$H,'Cable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Master'!$F:$F,B325),"")</f>
        <v>0</v>
      </c>
      <c r="F325">
        <f>IFERROR(SUMIFS('Cable Data Master'!$I:$I,'Cable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Master'!$F:$F,B325),"")</f>
        <v>0</v>
      </c>
      <c r="G325">
        <f>IFERROR(SUMIFS('Cable Data Master'!$J:$J,'Cable Data Master'!$A:$A,'Bulk Calculator'!$BF30,'Cable Data Master'!$B:$B,'Bulk Calculator'!$BG30,'Cable Data Master'!$C:$C,'Bulk Calculator'!$BH30,'Cable Data Master'!$D:$D,'Bulk Calculator'!$BI30,'Cable Data Master'!$E:$E,'Bulk Calculator'!$BJ30,'Cable Data Master'!$F:$F,B325),"")</f>
        <v>0</v>
      </c>
      <c r="H325">
        <f>IF(AND(ISNUMBER(C325),C325&gt;='Bulk Calculator'!U30/('Bulk Calculator'!J30*'Bulk Calculator'!L30)),1,0)</f>
        <v>1</v>
      </c>
      <c r="I325">
        <f>IFERROR(IF(AND(ISNUMBER(E325),ISNUMBER(F325),E325&gt;0,F325&gt;0),SQRT(3)*'Bulk Calculator'!O30*'Bulk Calculator'!AA30*((E325*'Bulk Calculator'!Q30)+(F325*SQRT(1-'Bulk Calculator'!Q30^2)))/'Bulk Calculator'!J30/'Bulk Calculator'!K30*100,D325*'Bulk Calculator'!AA30*'Bulk Calculator'!O30/'Bulk Calculator'!J30/'Bulk Calculator'!K30*100),"")</f>
        <v>0</v>
      </c>
      <c r="J325">
        <f>IFERROR(IF(AND(ISNUMBER(E325),ISNUMBER(F325),E325&gt;0,F325&gt;0),SQRT(3)*'Bulk Calculator'!O30*'Bulk Calculator'!U30*((E325*'Bulk Calculator'!M30)+(F325*SQRT(1-'Bulk Calculator'!M30^2)))/'Bulk Calculator'!J30/'Bulk Calculator'!K30*100,D325*'Bulk Calculator'!U30*'Bulk Calculator'!O30/'Bulk Calculator'!J30/'Bulk Calculator'!K30*100),"")</f>
        <v>0</v>
      </c>
      <c r="K325">
        <f>IFERROR(G325*B325*'Bulk Calculator'!J30/SQRT('Bulk Calculator'!S30)/1000,"")</f>
        <v>0</v>
      </c>
      <c r="L325">
        <f>IF(OR('Bulk Calculator'!R30="",'Bulk Calculator'!S30="",G325=""),0,IF(K325&gt;='Bulk Calculator'!R30,1,0))</f>
        <v>1</v>
      </c>
      <c r="M325">
        <f>IF(AND(H325=1,I325&lt;='OS-DORAEN'!$B$6,J325&lt;='OS-DORAEN'!$B$5,L325=1),1,0)</f>
        <v>1</v>
      </c>
      <c r="N325" t="str">
        <f t="shared" si="5"/>
        <v>Manufacturer VD Ref</v>
      </c>
    </row>
    <row r="326" spans="1:14" ht="15" customHeight="1" x14ac:dyDescent="0.35">
      <c r="A326">
        <v>31</v>
      </c>
      <c r="B326">
        <v>400</v>
      </c>
      <c r="C326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Master'!$F:$F,B326),"")</f>
        <v>530</v>
      </c>
      <c r="D326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Master'!$F:$F,B326),"")</f>
        <v>0.1023</v>
      </c>
      <c r="E326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Master'!$F:$F,B326),"")</f>
        <v>0.1023</v>
      </c>
      <c r="F326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Master'!$F:$F,B326),"")</f>
        <v>7.0000000000000007E-2</v>
      </c>
      <c r="G326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Master'!$F:$F,B326),"")</f>
        <v>143</v>
      </c>
      <c r="H326">
        <f>IF(AND(ISNUMBER(C326),C326&gt;='Bulk Calculator'!U31/('Bulk Calculator'!J31*'Bulk Calculator'!L31)),1,0)</f>
        <v>1</v>
      </c>
      <c r="I326">
        <f>IFERROR(IF(AND(ISNUMBER(E326),ISNUMBER(F326),E326&gt;0,F326&gt;0),SQRT(3)*'Bulk Calculator'!O31*'Bulk Calculator'!AA31*((E326*'Bulk Calculator'!Q31)+(F326*SQRT(1-'Bulk Calculator'!Q31^2)))/'Bulk Calculator'!J31/'Bulk Calculator'!K31*100,D326*'Bulk Calculator'!AA31*'Bulk Calculator'!O31/'Bulk Calculator'!J31/'Bulk Calculator'!K31*100),"")</f>
        <v>0</v>
      </c>
      <c r="J326">
        <f>IFERROR(IF(AND(ISNUMBER(E326),ISNUMBER(F326),E326&gt;0,F326&gt;0),SQRT(3)*'Bulk Calculator'!O31*'Bulk Calculator'!U31*((E326*'Bulk Calculator'!M31)+(F326*SQRT(1-'Bulk Calculator'!M31^2)))/'Bulk Calculator'!J31/'Bulk Calculator'!K31*100,D326*'Bulk Calculator'!U31*'Bulk Calculator'!O31/'Bulk Calculator'!J31/'Bulk Calculator'!K31*100),"")</f>
        <v>0</v>
      </c>
      <c r="K326">
        <f>IFERROR(G326*B326*'Bulk Calculator'!J31/SQRT('Bulk Calculator'!S31)/1000,"")</f>
        <v>127.90308831298798</v>
      </c>
      <c r="L326">
        <f>IF(OR('Bulk Calculator'!R31="",'Bulk Calculator'!S31="",G326=""),0,IF(K326&gt;='Bulk Calculator'!R31,1,0))</f>
        <v>1</v>
      </c>
      <c r="M326">
        <f>IF(AND(H326=1,I326&lt;='OS-DORAEN'!$B$6,J326&lt;='OS-DORAEN'!$B$5,L326=1),1,0)</f>
        <v>1</v>
      </c>
      <c r="N326" t="str">
        <f t="shared" si="5"/>
        <v>R/X</v>
      </c>
    </row>
    <row r="327" spans="1:14" ht="15" customHeight="1" x14ac:dyDescent="0.35">
      <c r="A327">
        <v>31</v>
      </c>
      <c r="B327">
        <v>300</v>
      </c>
      <c r="C327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Master'!$F:$F,B327),"")</f>
        <v>455</v>
      </c>
      <c r="D327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Master'!$F:$F,B327),"")</f>
        <v>0.13</v>
      </c>
      <c r="E327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Master'!$F:$F,B327),"")</f>
        <v>0.13</v>
      </c>
      <c r="F327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Master'!$F:$F,B327),"")</f>
        <v>7.0999999999999994E-2</v>
      </c>
      <c r="G327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Master'!$F:$F,B327),"")</f>
        <v>143</v>
      </c>
      <c r="H327">
        <f>IF(AND(ISNUMBER(C327),C327&gt;='Bulk Calculator'!U31/('Bulk Calculator'!J31*'Bulk Calculator'!L31)),1,0)</f>
        <v>1</v>
      </c>
      <c r="I327">
        <f>IFERROR(IF(AND(ISNUMBER(E327),ISNUMBER(F327),E327&gt;0,F327&gt;0),SQRT(3)*'Bulk Calculator'!O31*'Bulk Calculator'!AA31*((E327*'Bulk Calculator'!Q31)+(F327*SQRT(1-'Bulk Calculator'!Q31^2)))/'Bulk Calculator'!J31/'Bulk Calculator'!K31*100,D327*'Bulk Calculator'!AA31*'Bulk Calculator'!O31/'Bulk Calculator'!J31/'Bulk Calculator'!K31*100),"")</f>
        <v>0</v>
      </c>
      <c r="J327">
        <f>IFERROR(IF(AND(ISNUMBER(E327),ISNUMBER(F327),E327&gt;0,F327&gt;0),SQRT(3)*'Bulk Calculator'!O31*'Bulk Calculator'!U31*((E327*'Bulk Calculator'!M31)+(F327*SQRT(1-'Bulk Calculator'!M31^2)))/'Bulk Calculator'!J31/'Bulk Calculator'!K31*100,D327*'Bulk Calculator'!U31*'Bulk Calculator'!O31/'Bulk Calculator'!J31/'Bulk Calculator'!K31*100),"")</f>
        <v>0</v>
      </c>
      <c r="K327">
        <f>IFERROR(G327*B327*'Bulk Calculator'!J31/SQRT('Bulk Calculator'!S31)/1000,"")</f>
        <v>95.927316234740985</v>
      </c>
      <c r="L327">
        <f>IF(OR('Bulk Calculator'!R31="",'Bulk Calculator'!S31="",G327=""),0,IF(K327&gt;='Bulk Calculator'!R31,1,0))</f>
        <v>1</v>
      </c>
      <c r="M327">
        <f>IF(AND(H327=1,I327&lt;='OS-DORAEN'!$B$6,J327&lt;='OS-DORAEN'!$B$5,L327=1),1,0)</f>
        <v>1</v>
      </c>
      <c r="N327" t="str">
        <f t="shared" si="5"/>
        <v>R/X</v>
      </c>
    </row>
    <row r="328" spans="1:14" ht="15" customHeight="1" x14ac:dyDescent="0.35">
      <c r="A328">
        <v>31</v>
      </c>
      <c r="B328">
        <v>240</v>
      </c>
      <c r="C328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Master'!$F:$F,B328),"")</f>
        <v>399</v>
      </c>
      <c r="D328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Master'!$F:$F,B328),"")</f>
        <v>0.16200000000000001</v>
      </c>
      <c r="E328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Master'!$F:$F,B328),"")</f>
        <v>0.16200000000000001</v>
      </c>
      <c r="F328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Master'!$F:$F,B328),"")</f>
        <v>7.1999999999999995E-2</v>
      </c>
      <c r="G328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Master'!$F:$F,B328),"")</f>
        <v>143</v>
      </c>
      <c r="H328">
        <f>IF(AND(ISNUMBER(C328),C328&gt;='Bulk Calculator'!U31/('Bulk Calculator'!J31*'Bulk Calculator'!L31)),1,0)</f>
        <v>1</v>
      </c>
      <c r="I328">
        <f>IFERROR(IF(AND(ISNUMBER(E328),ISNUMBER(F328),E328&gt;0,F328&gt;0),SQRT(3)*'Bulk Calculator'!O31*'Bulk Calculator'!AA31*((E328*'Bulk Calculator'!Q31)+(F328*SQRT(1-'Bulk Calculator'!Q31^2)))/'Bulk Calculator'!J31/'Bulk Calculator'!K31*100,D328*'Bulk Calculator'!AA31*'Bulk Calculator'!O31/'Bulk Calculator'!J31/'Bulk Calculator'!K31*100),"")</f>
        <v>0</v>
      </c>
      <c r="J328">
        <f>IFERROR(IF(AND(ISNUMBER(E328),ISNUMBER(F328),E328&gt;0,F328&gt;0),SQRT(3)*'Bulk Calculator'!O31*'Bulk Calculator'!U31*((E328*'Bulk Calculator'!M31)+(F328*SQRT(1-'Bulk Calculator'!M31^2)))/'Bulk Calculator'!J31/'Bulk Calculator'!K31*100,D328*'Bulk Calculator'!U31*'Bulk Calculator'!O31/'Bulk Calculator'!J31/'Bulk Calculator'!K31*100),"")</f>
        <v>0</v>
      </c>
      <c r="K328">
        <f>IFERROR(G328*B328*'Bulk Calculator'!J31/SQRT('Bulk Calculator'!S31)/1000,"")</f>
        <v>76.741852987792782</v>
      </c>
      <c r="L328">
        <f>IF(OR('Bulk Calculator'!R31="",'Bulk Calculator'!S31="",G328=""),0,IF(K328&gt;='Bulk Calculator'!R31,1,0))</f>
        <v>1</v>
      </c>
      <c r="M328">
        <f>IF(AND(H328=1,I328&lt;='OS-DORAEN'!$B$6,J328&lt;='OS-DORAEN'!$B$5,L328=1),1,0)</f>
        <v>1</v>
      </c>
      <c r="N328" t="str">
        <f t="shared" si="5"/>
        <v>R/X</v>
      </c>
    </row>
    <row r="329" spans="1:14" ht="15" customHeight="1" x14ac:dyDescent="0.35">
      <c r="A329">
        <v>31</v>
      </c>
      <c r="B329">
        <v>185</v>
      </c>
      <c r="C329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Master'!$F:$F,B329),"")</f>
        <v>337</v>
      </c>
      <c r="D329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Master'!$F:$F,B329),"")</f>
        <v>0.21099999999999999</v>
      </c>
      <c r="E329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Master'!$F:$F,B329),"")</f>
        <v>0.21099999999999999</v>
      </c>
      <c r="F329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Master'!$F:$F,B329),"")</f>
        <v>7.1999999999999995E-2</v>
      </c>
      <c r="G329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Master'!$F:$F,B329),"")</f>
        <v>143</v>
      </c>
      <c r="H329">
        <f>IF(AND(ISNUMBER(C329),C329&gt;='Bulk Calculator'!U31/('Bulk Calculator'!J31*'Bulk Calculator'!L31)),1,0)</f>
        <v>1</v>
      </c>
      <c r="I329">
        <f>IFERROR(IF(AND(ISNUMBER(E329),ISNUMBER(F329),E329&gt;0,F329&gt;0),SQRT(3)*'Bulk Calculator'!O31*'Bulk Calculator'!AA31*((E329*'Bulk Calculator'!Q31)+(F329*SQRT(1-'Bulk Calculator'!Q31^2)))/'Bulk Calculator'!J31/'Bulk Calculator'!K31*100,D329*'Bulk Calculator'!AA31*'Bulk Calculator'!O31/'Bulk Calculator'!J31/'Bulk Calculator'!K31*100),"")</f>
        <v>0</v>
      </c>
      <c r="J329">
        <f>IFERROR(IF(AND(ISNUMBER(E329),ISNUMBER(F329),E329&gt;0,F329&gt;0),SQRT(3)*'Bulk Calculator'!O31*'Bulk Calculator'!U31*((E329*'Bulk Calculator'!M31)+(F329*SQRT(1-'Bulk Calculator'!M31^2)))/'Bulk Calculator'!J31/'Bulk Calculator'!K31*100,D329*'Bulk Calculator'!U31*'Bulk Calculator'!O31/'Bulk Calculator'!J31/'Bulk Calculator'!K31*100),"")</f>
        <v>0</v>
      </c>
      <c r="K329">
        <f>IFERROR(G329*B329*'Bulk Calculator'!J31/SQRT('Bulk Calculator'!S31)/1000,"")</f>
        <v>59.155178344756941</v>
      </c>
      <c r="L329">
        <f>IF(OR('Bulk Calculator'!R31="",'Bulk Calculator'!S31="",G329=""),0,IF(K329&gt;='Bulk Calculator'!R31,1,0))</f>
        <v>1</v>
      </c>
      <c r="M329">
        <f>IF(AND(H329=1,I329&lt;='OS-DORAEN'!$B$6,J329&lt;='OS-DORAEN'!$B$5,L329=1),1,0)</f>
        <v>1</v>
      </c>
      <c r="N329" t="str">
        <f t="shared" si="5"/>
        <v>R/X</v>
      </c>
    </row>
    <row r="330" spans="1:14" ht="15" customHeight="1" x14ac:dyDescent="0.35">
      <c r="A330">
        <v>31</v>
      </c>
      <c r="B330">
        <v>150</v>
      </c>
      <c r="C330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Master'!$F:$F,B330),"")</f>
        <v>292</v>
      </c>
      <c r="D330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Master'!$F:$F,B330),"")</f>
        <v>0.26500000000000001</v>
      </c>
      <c r="E330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Master'!$F:$F,B330),"")</f>
        <v>0.26500000000000001</v>
      </c>
      <c r="F330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Master'!$F:$F,B330),"")</f>
        <v>7.1999999999999995E-2</v>
      </c>
      <c r="G330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Master'!$F:$F,B330),"")</f>
        <v>143</v>
      </c>
      <c r="H330">
        <f>IF(AND(ISNUMBER(C330),C330&gt;='Bulk Calculator'!U31/('Bulk Calculator'!J31*'Bulk Calculator'!L31)),1,0)</f>
        <v>1</v>
      </c>
      <c r="I330">
        <f>IFERROR(IF(AND(ISNUMBER(E330),ISNUMBER(F330),E330&gt;0,F330&gt;0),SQRT(3)*'Bulk Calculator'!O31*'Bulk Calculator'!AA31*((E330*'Bulk Calculator'!Q31)+(F330*SQRT(1-'Bulk Calculator'!Q31^2)))/'Bulk Calculator'!J31/'Bulk Calculator'!K31*100,D330*'Bulk Calculator'!AA31*'Bulk Calculator'!O31/'Bulk Calculator'!J31/'Bulk Calculator'!K31*100),"")</f>
        <v>0</v>
      </c>
      <c r="J330">
        <f>IFERROR(IF(AND(ISNUMBER(E330),ISNUMBER(F330),E330&gt;0,F330&gt;0),SQRT(3)*'Bulk Calculator'!O31*'Bulk Calculator'!U31*((E330*'Bulk Calculator'!M31)+(F330*SQRT(1-'Bulk Calculator'!M31^2)))/'Bulk Calculator'!J31/'Bulk Calculator'!K31*100,D330*'Bulk Calculator'!U31*'Bulk Calculator'!O31/'Bulk Calculator'!J31/'Bulk Calculator'!K31*100),"")</f>
        <v>0</v>
      </c>
      <c r="K330">
        <f>IFERROR(G330*B330*'Bulk Calculator'!J31/SQRT('Bulk Calculator'!S31)/1000,"")</f>
        <v>47.963658117370493</v>
      </c>
      <c r="L330">
        <f>IF(OR('Bulk Calculator'!R31="",'Bulk Calculator'!S31="",G330=""),0,IF(K330&gt;='Bulk Calculator'!R31,1,0))</f>
        <v>1</v>
      </c>
      <c r="M330">
        <f>IF(AND(H330=1,I330&lt;='OS-DORAEN'!$B$6,J330&lt;='OS-DORAEN'!$B$5,L330=1),1,0)</f>
        <v>1</v>
      </c>
      <c r="N330" t="str">
        <f t="shared" si="5"/>
        <v>R/X</v>
      </c>
    </row>
    <row r="331" spans="1:14" ht="15" customHeight="1" x14ac:dyDescent="0.35">
      <c r="A331">
        <v>31</v>
      </c>
      <c r="B331">
        <v>120</v>
      </c>
      <c r="C331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Master'!$F:$F,B331),"")</f>
        <v>257</v>
      </c>
      <c r="D331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Master'!$F:$F,B331),"")</f>
        <v>0.32500000000000001</v>
      </c>
      <c r="E331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Master'!$F:$F,B331),"")</f>
        <v>0.32500000000000001</v>
      </c>
      <c r="F331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Master'!$F:$F,B331),"")</f>
        <v>7.1999999999999995E-2</v>
      </c>
      <c r="G331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Master'!$F:$F,B331),"")</f>
        <v>143</v>
      </c>
      <c r="H331">
        <f>IF(AND(ISNUMBER(C331),C331&gt;='Bulk Calculator'!U31/('Bulk Calculator'!J31*'Bulk Calculator'!L31)),1,0)</f>
        <v>1</v>
      </c>
      <c r="I331">
        <f>IFERROR(IF(AND(ISNUMBER(E331),ISNUMBER(F331),E331&gt;0,F331&gt;0),SQRT(3)*'Bulk Calculator'!O31*'Bulk Calculator'!AA31*((E331*'Bulk Calculator'!Q31)+(F331*SQRT(1-'Bulk Calculator'!Q31^2)))/'Bulk Calculator'!J31/'Bulk Calculator'!K31*100,D331*'Bulk Calculator'!AA31*'Bulk Calculator'!O31/'Bulk Calculator'!J31/'Bulk Calculator'!K31*100),"")</f>
        <v>0</v>
      </c>
      <c r="J331">
        <f>IFERROR(IF(AND(ISNUMBER(E331),ISNUMBER(F331),E331&gt;0,F331&gt;0),SQRT(3)*'Bulk Calculator'!O31*'Bulk Calculator'!U31*((E331*'Bulk Calculator'!M31)+(F331*SQRT(1-'Bulk Calculator'!M31^2)))/'Bulk Calculator'!J31/'Bulk Calculator'!K31*100,D331*'Bulk Calculator'!U31*'Bulk Calculator'!O31/'Bulk Calculator'!J31/'Bulk Calculator'!K31*100),"")</f>
        <v>0</v>
      </c>
      <c r="K331">
        <f>IFERROR(G331*B331*'Bulk Calculator'!J31/SQRT('Bulk Calculator'!S31)/1000,"")</f>
        <v>38.370926493896391</v>
      </c>
      <c r="L331">
        <f>IF(OR('Bulk Calculator'!R31="",'Bulk Calculator'!S31="",G331=""),0,IF(K331&gt;='Bulk Calculator'!R31,1,0))</f>
        <v>1</v>
      </c>
      <c r="M331">
        <f>IF(AND(H331=1,I331&lt;='OS-DORAEN'!$B$6,J331&lt;='OS-DORAEN'!$B$5,L331=1),1,0)</f>
        <v>1</v>
      </c>
      <c r="N331" t="str">
        <f t="shared" si="5"/>
        <v>R/X</v>
      </c>
    </row>
    <row r="332" spans="1:14" ht="15" customHeight="1" x14ac:dyDescent="0.35">
      <c r="A332">
        <v>31</v>
      </c>
      <c r="B332">
        <v>95</v>
      </c>
      <c r="C332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Master'!$F:$F,B332),"")</f>
        <v>221</v>
      </c>
      <c r="D332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Master'!$F:$F,B332),"")</f>
        <v>0.41</v>
      </c>
      <c r="E332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Master'!$F:$F,B332),"")</f>
        <v>0.41</v>
      </c>
      <c r="F332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Master'!$F:$F,B332),"")</f>
        <v>7.3999999999999996E-2</v>
      </c>
      <c r="G332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Master'!$F:$F,B332),"")</f>
        <v>143</v>
      </c>
      <c r="H332">
        <f>IF(AND(ISNUMBER(C332),C332&gt;='Bulk Calculator'!U31/('Bulk Calculator'!J31*'Bulk Calculator'!L31)),1,0)</f>
        <v>1</v>
      </c>
      <c r="I332">
        <f>IFERROR(IF(AND(ISNUMBER(E332),ISNUMBER(F332),E332&gt;0,F332&gt;0),SQRT(3)*'Bulk Calculator'!O31*'Bulk Calculator'!AA31*((E332*'Bulk Calculator'!Q31)+(F332*SQRT(1-'Bulk Calculator'!Q31^2)))/'Bulk Calculator'!J31/'Bulk Calculator'!K31*100,D332*'Bulk Calculator'!AA31*'Bulk Calculator'!O31/'Bulk Calculator'!J31/'Bulk Calculator'!K31*100),"")</f>
        <v>0</v>
      </c>
      <c r="J332">
        <f>IFERROR(IF(AND(ISNUMBER(E332),ISNUMBER(F332),E332&gt;0,F332&gt;0),SQRT(3)*'Bulk Calculator'!O31*'Bulk Calculator'!U31*((E332*'Bulk Calculator'!M31)+(F332*SQRT(1-'Bulk Calculator'!M31^2)))/'Bulk Calculator'!J31/'Bulk Calculator'!K31*100,D332*'Bulk Calculator'!U31*'Bulk Calculator'!O31/'Bulk Calculator'!J31/'Bulk Calculator'!K31*100),"")</f>
        <v>0</v>
      </c>
      <c r="K332">
        <f>IFERROR(G332*B332*'Bulk Calculator'!J31/SQRT('Bulk Calculator'!S31)/1000,"")</f>
        <v>30.376983474334644</v>
      </c>
      <c r="L332">
        <f>IF(OR('Bulk Calculator'!R31="",'Bulk Calculator'!S31="",G332=""),0,IF(K332&gt;='Bulk Calculator'!R31,1,0))</f>
        <v>1</v>
      </c>
      <c r="M332">
        <f>IF(AND(H332=1,I332&lt;='OS-DORAEN'!$B$6,J332&lt;='OS-DORAEN'!$B$5,L332=1),1,0)</f>
        <v>1</v>
      </c>
      <c r="N332" t="str">
        <f t="shared" si="5"/>
        <v>R/X</v>
      </c>
    </row>
    <row r="333" spans="1:14" ht="15" customHeight="1" x14ac:dyDescent="0.35">
      <c r="A333">
        <v>31</v>
      </c>
      <c r="B333">
        <v>70</v>
      </c>
      <c r="C333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Master'!$F:$F,B333),"")</f>
        <v>179</v>
      </c>
      <c r="D333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Master'!$F:$F,B333),"")</f>
        <v>0.56699999999999995</v>
      </c>
      <c r="E333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Master'!$F:$F,B333),"")</f>
        <v>0.56699999999999995</v>
      </c>
      <c r="F333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Master'!$F:$F,B333),"")</f>
        <v>7.6999999999999999E-2</v>
      </c>
      <c r="G333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Master'!$F:$F,B333),"")</f>
        <v>143</v>
      </c>
      <c r="H333">
        <f>IF(AND(ISNUMBER(C333),C333&gt;='Bulk Calculator'!U31/('Bulk Calculator'!J31*'Bulk Calculator'!L31)),1,0)</f>
        <v>1</v>
      </c>
      <c r="I333">
        <f>IFERROR(IF(AND(ISNUMBER(E333),ISNUMBER(F333),E333&gt;0,F333&gt;0),SQRT(3)*'Bulk Calculator'!O31*'Bulk Calculator'!AA31*((E333*'Bulk Calculator'!Q31)+(F333*SQRT(1-'Bulk Calculator'!Q31^2)))/'Bulk Calculator'!J31/'Bulk Calculator'!K31*100,D333*'Bulk Calculator'!AA31*'Bulk Calculator'!O31/'Bulk Calculator'!J31/'Bulk Calculator'!K31*100),"")</f>
        <v>0</v>
      </c>
      <c r="J333">
        <f>IFERROR(IF(AND(ISNUMBER(E333),ISNUMBER(F333),E333&gt;0,F333&gt;0),SQRT(3)*'Bulk Calculator'!O31*'Bulk Calculator'!U31*((E333*'Bulk Calculator'!M31)+(F333*SQRT(1-'Bulk Calculator'!M31^2)))/'Bulk Calculator'!J31/'Bulk Calculator'!K31*100,D333*'Bulk Calculator'!U31*'Bulk Calculator'!O31/'Bulk Calculator'!J31/'Bulk Calculator'!K31*100),"")</f>
        <v>0</v>
      </c>
      <c r="K333">
        <f>IFERROR(G333*B333*'Bulk Calculator'!J31/SQRT('Bulk Calculator'!S31)/1000,"")</f>
        <v>22.383040454772893</v>
      </c>
      <c r="L333">
        <f>IF(OR('Bulk Calculator'!R31="",'Bulk Calculator'!S31="",G333=""),0,IF(K333&gt;='Bulk Calculator'!R31,1,0))</f>
        <v>1</v>
      </c>
      <c r="M333">
        <f>IF(AND(H333=1,I333&lt;='OS-DORAEN'!$B$6,J333&lt;='OS-DORAEN'!$B$5,L333=1),1,0)</f>
        <v>1</v>
      </c>
      <c r="N333" t="str">
        <f t="shared" si="5"/>
        <v>R/X</v>
      </c>
    </row>
    <row r="334" spans="1:14" ht="15" customHeight="1" x14ac:dyDescent="0.35">
      <c r="A334">
        <v>31</v>
      </c>
      <c r="B334">
        <v>50</v>
      </c>
      <c r="C334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Master'!$F:$F,B334),"")</f>
        <v>142</v>
      </c>
      <c r="D334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Master'!$F:$F,B334),"")</f>
        <v>0.82</v>
      </c>
      <c r="E334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Master'!$F:$F,B334),"")</f>
        <v>0.82</v>
      </c>
      <c r="F334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Master'!$F:$F,B334),"")</f>
        <v>7.8E-2</v>
      </c>
      <c r="G334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Master'!$F:$F,B334),"")</f>
        <v>143</v>
      </c>
      <c r="H334">
        <f>IF(AND(ISNUMBER(C334),C334&gt;='Bulk Calculator'!U31/('Bulk Calculator'!J31*'Bulk Calculator'!L31)),1,0)</f>
        <v>1</v>
      </c>
      <c r="I334">
        <f>IFERROR(IF(AND(ISNUMBER(E334),ISNUMBER(F334),E334&gt;0,F334&gt;0),SQRT(3)*'Bulk Calculator'!O31*'Bulk Calculator'!AA31*((E334*'Bulk Calculator'!Q31)+(F334*SQRT(1-'Bulk Calculator'!Q31^2)))/'Bulk Calculator'!J31/'Bulk Calculator'!K31*100,D334*'Bulk Calculator'!AA31*'Bulk Calculator'!O31/'Bulk Calculator'!J31/'Bulk Calculator'!K31*100),"")</f>
        <v>0</v>
      </c>
      <c r="J334">
        <f>IFERROR(IF(AND(ISNUMBER(E334),ISNUMBER(F334),E334&gt;0,F334&gt;0),SQRT(3)*'Bulk Calculator'!O31*'Bulk Calculator'!U31*((E334*'Bulk Calculator'!M31)+(F334*SQRT(1-'Bulk Calculator'!M31^2)))/'Bulk Calculator'!J31/'Bulk Calculator'!K31*100,D334*'Bulk Calculator'!U31*'Bulk Calculator'!O31/'Bulk Calculator'!J31/'Bulk Calculator'!K31*100),"")</f>
        <v>0</v>
      </c>
      <c r="K334">
        <f>IFERROR(G334*B334*'Bulk Calculator'!J31/SQRT('Bulk Calculator'!S31)/1000,"")</f>
        <v>15.987886039123497</v>
      </c>
      <c r="L334">
        <f>IF(OR('Bulk Calculator'!R31="",'Bulk Calculator'!S31="",G334=""),0,IF(K334&gt;='Bulk Calculator'!R31,1,0))</f>
        <v>1</v>
      </c>
      <c r="M334">
        <f>IF(AND(H334=1,I334&lt;='OS-DORAEN'!$B$6,J334&lt;='OS-DORAEN'!$B$5,L334=1),1,0)</f>
        <v>1</v>
      </c>
      <c r="N334" t="str">
        <f t="shared" si="5"/>
        <v>R/X</v>
      </c>
    </row>
    <row r="335" spans="1:14" ht="15" customHeight="1" x14ac:dyDescent="0.35">
      <c r="A335">
        <v>31</v>
      </c>
      <c r="B335">
        <v>35</v>
      </c>
      <c r="C335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Master'!$F:$F,B335),"")</f>
        <v>117</v>
      </c>
      <c r="D335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Master'!$F:$F,B335),"")</f>
        <v>1.1100000000000001</v>
      </c>
      <c r="E335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Master'!$F:$F,B335),"")</f>
        <v>1.1100000000000001</v>
      </c>
      <c r="F335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Master'!$F:$F,B335),"")</f>
        <v>0.08</v>
      </c>
      <c r="G335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Master'!$F:$F,B335),"")</f>
        <v>143</v>
      </c>
      <c r="H335">
        <f>IF(AND(ISNUMBER(C335),C335&gt;='Bulk Calculator'!U31/('Bulk Calculator'!J31*'Bulk Calculator'!L31)),1,0)</f>
        <v>1</v>
      </c>
      <c r="I335">
        <f>IFERROR(IF(AND(ISNUMBER(E335),ISNUMBER(F335),E335&gt;0,F335&gt;0),SQRT(3)*'Bulk Calculator'!O31*'Bulk Calculator'!AA31*((E335*'Bulk Calculator'!Q31)+(F335*SQRT(1-'Bulk Calculator'!Q31^2)))/'Bulk Calculator'!J31/'Bulk Calculator'!K31*100,D335*'Bulk Calculator'!AA31*'Bulk Calculator'!O31/'Bulk Calculator'!J31/'Bulk Calculator'!K31*100),"")</f>
        <v>0</v>
      </c>
      <c r="J335">
        <f>IFERROR(IF(AND(ISNUMBER(E335),ISNUMBER(F335),E335&gt;0,F335&gt;0),SQRT(3)*'Bulk Calculator'!O31*'Bulk Calculator'!U31*((E335*'Bulk Calculator'!M31)+(F335*SQRT(1-'Bulk Calculator'!M31^2)))/'Bulk Calculator'!J31/'Bulk Calculator'!K31*100,D335*'Bulk Calculator'!U31*'Bulk Calculator'!O31/'Bulk Calculator'!J31/'Bulk Calculator'!K31*100),"")</f>
        <v>0</v>
      </c>
      <c r="K335">
        <f>IFERROR(G335*B335*'Bulk Calculator'!J31/SQRT('Bulk Calculator'!S31)/1000,"")</f>
        <v>11.191520227386446</v>
      </c>
      <c r="L335">
        <f>IF(OR('Bulk Calculator'!R31="",'Bulk Calculator'!S31="",G335=""),0,IF(K335&gt;='Bulk Calculator'!R31,1,0))</f>
        <v>1</v>
      </c>
      <c r="M335">
        <f>IF(AND(H335=1,I335&lt;='OS-DORAEN'!$B$6,J335&lt;='OS-DORAEN'!$B$5,L335=1),1,0)</f>
        <v>1</v>
      </c>
      <c r="N335" t="str">
        <f t="shared" si="5"/>
        <v>R/X</v>
      </c>
    </row>
    <row r="336" spans="1:14" ht="15" customHeight="1" x14ac:dyDescent="0.35">
      <c r="A336">
        <v>31</v>
      </c>
      <c r="B336">
        <v>25</v>
      </c>
      <c r="C336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Master'!$F:$F,B336),"")</f>
        <v>96</v>
      </c>
      <c r="D336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Master'!$F:$F,B336),"")</f>
        <v>1.54</v>
      </c>
      <c r="E336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Master'!$F:$F,B336),"")</f>
        <v>1.54</v>
      </c>
      <c r="F336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Master'!$F:$F,B336),"")</f>
        <v>0.08</v>
      </c>
      <c r="G336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Master'!$F:$F,B336),"")</f>
        <v>143</v>
      </c>
      <c r="H336">
        <f>IF(AND(ISNUMBER(C336),C336&gt;='Bulk Calculator'!U31/('Bulk Calculator'!J31*'Bulk Calculator'!L31)),1,0)</f>
        <v>1</v>
      </c>
      <c r="I336">
        <f>IFERROR(IF(AND(ISNUMBER(E336),ISNUMBER(F336),E336&gt;0,F336&gt;0),SQRT(3)*'Bulk Calculator'!O31*'Bulk Calculator'!AA31*((E336*'Bulk Calculator'!Q31)+(F336*SQRT(1-'Bulk Calculator'!Q31^2)))/'Bulk Calculator'!J31/'Bulk Calculator'!K31*100,D336*'Bulk Calculator'!AA31*'Bulk Calculator'!O31/'Bulk Calculator'!J31/'Bulk Calculator'!K31*100),"")</f>
        <v>0</v>
      </c>
      <c r="J336">
        <f>IFERROR(IF(AND(ISNUMBER(E336),ISNUMBER(F336),E336&gt;0,F336&gt;0),SQRT(3)*'Bulk Calculator'!O31*'Bulk Calculator'!U31*((E336*'Bulk Calculator'!M31)+(F336*SQRT(1-'Bulk Calculator'!M31^2)))/'Bulk Calculator'!J31/'Bulk Calculator'!K31*100,D336*'Bulk Calculator'!U31*'Bulk Calculator'!O31/'Bulk Calculator'!J31/'Bulk Calculator'!K31*100),"")</f>
        <v>0</v>
      </c>
      <c r="K336">
        <f>IFERROR(G336*B336*'Bulk Calculator'!J31/SQRT('Bulk Calculator'!S31)/1000,"")</f>
        <v>7.9939430195617485</v>
      </c>
      <c r="L336">
        <f>IF(OR('Bulk Calculator'!R31="",'Bulk Calculator'!S31="",G336=""),0,IF(K336&gt;='Bulk Calculator'!R31,1,0))</f>
        <v>1</v>
      </c>
      <c r="M336">
        <f>IF(AND(H336=1,I336&lt;='OS-DORAEN'!$B$6,J336&lt;='OS-DORAEN'!$B$5,L336=1),1,0)</f>
        <v>1</v>
      </c>
      <c r="N336" t="str">
        <f t="shared" si="5"/>
        <v>R/X</v>
      </c>
    </row>
    <row r="337" spans="1:14" ht="15" customHeight="1" x14ac:dyDescent="0.35">
      <c r="A337">
        <v>31</v>
      </c>
      <c r="B337">
        <v>16</v>
      </c>
      <c r="C337">
        <f>IFERROR(SUMIFS('Cable Data Master'!$G:$G,'Cable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Master'!$F:$F,B337),"")</f>
        <v>0</v>
      </c>
      <c r="D337">
        <f>IFERROR(SUMIFS('Cable Data Master'!$K:$K,'Cable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Master'!$F:$F,B337),"")</f>
        <v>0</v>
      </c>
      <c r="E337">
        <f>IFERROR(SUMIFS('Cable Data Master'!$H:$H,'Cable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Master'!$F:$F,B337),"")</f>
        <v>0</v>
      </c>
      <c r="F337">
        <f>IFERROR(SUMIFS('Cable Data Master'!$I:$I,'Cable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Master'!$F:$F,B337),"")</f>
        <v>0</v>
      </c>
      <c r="G337">
        <f>IFERROR(SUMIFS('Cable Data Master'!$J:$J,'Cable Data Master'!$A:$A,'Bulk Calculator'!$BF31,'Cable Data Master'!$B:$B,'Bulk Calculator'!$BG31,'Cable Data Master'!$C:$C,'Bulk Calculator'!$BH31,'Cable Data Master'!$D:$D,'Bulk Calculator'!$BI31,'Cable Data Master'!$E:$E,'Bulk Calculator'!$BJ31,'Cable Data Master'!$F:$F,B337),"")</f>
        <v>0</v>
      </c>
      <c r="H337">
        <f>IF(AND(ISNUMBER(C337),C337&gt;='Bulk Calculator'!U31/('Bulk Calculator'!J31*'Bulk Calculator'!L31)),1,0)</f>
        <v>1</v>
      </c>
      <c r="I337">
        <f>IFERROR(IF(AND(ISNUMBER(E337),ISNUMBER(F337),E337&gt;0,F337&gt;0),SQRT(3)*'Bulk Calculator'!O31*'Bulk Calculator'!AA31*((E337*'Bulk Calculator'!Q31)+(F337*SQRT(1-'Bulk Calculator'!Q31^2)))/'Bulk Calculator'!J31/'Bulk Calculator'!K31*100,D337*'Bulk Calculator'!AA31*'Bulk Calculator'!O31/'Bulk Calculator'!J31/'Bulk Calculator'!K31*100),"")</f>
        <v>0</v>
      </c>
      <c r="J337">
        <f>IFERROR(IF(AND(ISNUMBER(E337),ISNUMBER(F337),E337&gt;0,F337&gt;0),SQRT(3)*'Bulk Calculator'!O31*'Bulk Calculator'!U31*((E337*'Bulk Calculator'!M31)+(F337*SQRT(1-'Bulk Calculator'!M31^2)))/'Bulk Calculator'!J31/'Bulk Calculator'!K31*100,D337*'Bulk Calculator'!U31*'Bulk Calculator'!O31/'Bulk Calculator'!J31/'Bulk Calculator'!K31*100),"")</f>
        <v>0</v>
      </c>
      <c r="K337">
        <f>IFERROR(G337*B337*'Bulk Calculator'!J31/SQRT('Bulk Calculator'!S31)/1000,"")</f>
        <v>0</v>
      </c>
      <c r="L337">
        <f>IF(OR('Bulk Calculator'!R31="",'Bulk Calculator'!S31="",G337=""),0,IF(K337&gt;='Bulk Calculator'!R31,1,0))</f>
        <v>1</v>
      </c>
      <c r="M337">
        <f>IF(AND(H337=1,I337&lt;='OS-DORAEN'!$B$6,J337&lt;='OS-DORAEN'!$B$5,L337=1),1,0)</f>
        <v>1</v>
      </c>
      <c r="N337" t="str">
        <f t="shared" si="5"/>
        <v>Manufacturer VD Ref</v>
      </c>
    </row>
    <row r="338" spans="1:14" ht="15" customHeight="1" x14ac:dyDescent="0.35">
      <c r="A338">
        <v>32</v>
      </c>
      <c r="B338">
        <v>400</v>
      </c>
      <c r="C338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Master'!$F:$F,B338),"")</f>
        <v>530</v>
      </c>
      <c r="D338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Master'!$F:$F,B338),"")</f>
        <v>0.1023</v>
      </c>
      <c r="E338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Master'!$F:$F,B338),"")</f>
        <v>0.1023</v>
      </c>
      <c r="F338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Master'!$F:$F,B338),"")</f>
        <v>7.0000000000000007E-2</v>
      </c>
      <c r="G338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Master'!$F:$F,B338),"")</f>
        <v>143</v>
      </c>
      <c r="H338">
        <f>IF(AND(ISNUMBER(C338),C338&gt;='Bulk Calculator'!U32/('Bulk Calculator'!J32*'Bulk Calculator'!L32)),1,0)</f>
        <v>1</v>
      </c>
      <c r="I338">
        <f>IFERROR(IF(AND(ISNUMBER(E338),ISNUMBER(F338),E338&gt;0,F338&gt;0),SQRT(3)*'Bulk Calculator'!O32*'Bulk Calculator'!AA32*((E338*'Bulk Calculator'!Q32)+(F338*SQRT(1-'Bulk Calculator'!Q32^2)))/'Bulk Calculator'!J32/'Bulk Calculator'!K32*100,D338*'Bulk Calculator'!AA32*'Bulk Calculator'!O32/'Bulk Calculator'!J32/'Bulk Calculator'!K32*100),"")</f>
        <v>0</v>
      </c>
      <c r="J338">
        <f>IFERROR(IF(AND(ISNUMBER(E338),ISNUMBER(F338),E338&gt;0,F338&gt;0),SQRT(3)*'Bulk Calculator'!O32*'Bulk Calculator'!U32*((E338*'Bulk Calculator'!M32)+(F338*SQRT(1-'Bulk Calculator'!M32^2)))/'Bulk Calculator'!J32/'Bulk Calculator'!K32*100,D338*'Bulk Calculator'!U32*'Bulk Calculator'!O32/'Bulk Calculator'!J32/'Bulk Calculator'!K32*100),"")</f>
        <v>0</v>
      </c>
      <c r="K338">
        <f>IFERROR(G338*B338*'Bulk Calculator'!J32/SQRT('Bulk Calculator'!S32)/1000,"")</f>
        <v>127.90308831298798</v>
      </c>
      <c r="L338">
        <f>IF(OR('Bulk Calculator'!R32="",'Bulk Calculator'!S32="",G338=""),0,IF(K338&gt;='Bulk Calculator'!R32,1,0))</f>
        <v>1</v>
      </c>
      <c r="M338">
        <f>IF(AND(H338=1,I338&lt;='OS-DORAEN'!$B$6,J338&lt;='OS-DORAEN'!$B$5,L338=1),1,0)</f>
        <v>1</v>
      </c>
      <c r="N338" t="str">
        <f t="shared" si="5"/>
        <v>R/X</v>
      </c>
    </row>
    <row r="339" spans="1:14" ht="15" customHeight="1" x14ac:dyDescent="0.35">
      <c r="A339">
        <v>32</v>
      </c>
      <c r="B339">
        <v>300</v>
      </c>
      <c r="C339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Master'!$F:$F,B339),"")</f>
        <v>455</v>
      </c>
      <c r="D339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Master'!$F:$F,B339),"")</f>
        <v>0.13</v>
      </c>
      <c r="E339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Master'!$F:$F,B339),"")</f>
        <v>0.13</v>
      </c>
      <c r="F339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Master'!$F:$F,B339),"")</f>
        <v>7.0999999999999994E-2</v>
      </c>
      <c r="G339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Master'!$F:$F,B339),"")</f>
        <v>143</v>
      </c>
      <c r="H339">
        <f>IF(AND(ISNUMBER(C339),C339&gt;='Bulk Calculator'!U32/('Bulk Calculator'!J32*'Bulk Calculator'!L32)),1,0)</f>
        <v>1</v>
      </c>
      <c r="I339">
        <f>IFERROR(IF(AND(ISNUMBER(E339),ISNUMBER(F339),E339&gt;0,F339&gt;0),SQRT(3)*'Bulk Calculator'!O32*'Bulk Calculator'!AA32*((E339*'Bulk Calculator'!Q32)+(F339*SQRT(1-'Bulk Calculator'!Q32^2)))/'Bulk Calculator'!J32/'Bulk Calculator'!K32*100,D339*'Bulk Calculator'!AA32*'Bulk Calculator'!O32/'Bulk Calculator'!J32/'Bulk Calculator'!K32*100),"")</f>
        <v>0</v>
      </c>
      <c r="J339">
        <f>IFERROR(IF(AND(ISNUMBER(E339),ISNUMBER(F339),E339&gt;0,F339&gt;0),SQRT(3)*'Bulk Calculator'!O32*'Bulk Calculator'!U32*((E339*'Bulk Calculator'!M32)+(F339*SQRT(1-'Bulk Calculator'!M32^2)))/'Bulk Calculator'!J32/'Bulk Calculator'!K32*100,D339*'Bulk Calculator'!U32*'Bulk Calculator'!O32/'Bulk Calculator'!J32/'Bulk Calculator'!K32*100),"")</f>
        <v>0</v>
      </c>
      <c r="K339">
        <f>IFERROR(G339*B339*'Bulk Calculator'!J32/SQRT('Bulk Calculator'!S32)/1000,"")</f>
        <v>95.927316234740985</v>
      </c>
      <c r="L339">
        <f>IF(OR('Bulk Calculator'!R32="",'Bulk Calculator'!S32="",G339=""),0,IF(K339&gt;='Bulk Calculator'!R32,1,0))</f>
        <v>1</v>
      </c>
      <c r="M339">
        <f>IF(AND(H339=1,I339&lt;='OS-DORAEN'!$B$6,J339&lt;='OS-DORAEN'!$B$5,L339=1),1,0)</f>
        <v>1</v>
      </c>
      <c r="N339" t="str">
        <f t="shared" si="5"/>
        <v>R/X</v>
      </c>
    </row>
    <row r="340" spans="1:14" ht="15" customHeight="1" x14ac:dyDescent="0.35">
      <c r="A340">
        <v>32</v>
      </c>
      <c r="B340">
        <v>240</v>
      </c>
      <c r="C340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Master'!$F:$F,B340),"")</f>
        <v>399</v>
      </c>
      <c r="D340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Master'!$F:$F,B340),"")</f>
        <v>0.16200000000000001</v>
      </c>
      <c r="E340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Master'!$F:$F,B340),"")</f>
        <v>0.16200000000000001</v>
      </c>
      <c r="F340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Master'!$F:$F,B340),"")</f>
        <v>7.1999999999999995E-2</v>
      </c>
      <c r="G340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Master'!$F:$F,B340),"")</f>
        <v>143</v>
      </c>
      <c r="H340">
        <f>IF(AND(ISNUMBER(C340),C340&gt;='Bulk Calculator'!U32/('Bulk Calculator'!J32*'Bulk Calculator'!L32)),1,0)</f>
        <v>1</v>
      </c>
      <c r="I340">
        <f>IFERROR(IF(AND(ISNUMBER(E340),ISNUMBER(F340),E340&gt;0,F340&gt;0),SQRT(3)*'Bulk Calculator'!O32*'Bulk Calculator'!AA32*((E340*'Bulk Calculator'!Q32)+(F340*SQRT(1-'Bulk Calculator'!Q32^2)))/'Bulk Calculator'!J32/'Bulk Calculator'!K32*100,D340*'Bulk Calculator'!AA32*'Bulk Calculator'!O32/'Bulk Calculator'!J32/'Bulk Calculator'!K32*100),"")</f>
        <v>0</v>
      </c>
      <c r="J340">
        <f>IFERROR(IF(AND(ISNUMBER(E340),ISNUMBER(F340),E340&gt;0,F340&gt;0),SQRT(3)*'Bulk Calculator'!O32*'Bulk Calculator'!U32*((E340*'Bulk Calculator'!M32)+(F340*SQRT(1-'Bulk Calculator'!M32^2)))/'Bulk Calculator'!J32/'Bulk Calculator'!K32*100,D340*'Bulk Calculator'!U32*'Bulk Calculator'!O32/'Bulk Calculator'!J32/'Bulk Calculator'!K32*100),"")</f>
        <v>0</v>
      </c>
      <c r="K340">
        <f>IFERROR(G340*B340*'Bulk Calculator'!J32/SQRT('Bulk Calculator'!S32)/1000,"")</f>
        <v>76.741852987792782</v>
      </c>
      <c r="L340">
        <f>IF(OR('Bulk Calculator'!R32="",'Bulk Calculator'!S32="",G340=""),0,IF(K340&gt;='Bulk Calculator'!R32,1,0))</f>
        <v>1</v>
      </c>
      <c r="M340">
        <f>IF(AND(H340=1,I340&lt;='OS-DORAEN'!$B$6,J340&lt;='OS-DORAEN'!$B$5,L340=1),1,0)</f>
        <v>1</v>
      </c>
      <c r="N340" t="str">
        <f t="shared" si="5"/>
        <v>R/X</v>
      </c>
    </row>
    <row r="341" spans="1:14" ht="15" customHeight="1" x14ac:dyDescent="0.35">
      <c r="A341">
        <v>32</v>
      </c>
      <c r="B341">
        <v>185</v>
      </c>
      <c r="C341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Master'!$F:$F,B341),"")</f>
        <v>337</v>
      </c>
      <c r="D341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Master'!$F:$F,B341),"")</f>
        <v>0.21099999999999999</v>
      </c>
      <c r="E341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Master'!$F:$F,B341),"")</f>
        <v>0.21099999999999999</v>
      </c>
      <c r="F341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Master'!$F:$F,B341),"")</f>
        <v>7.1999999999999995E-2</v>
      </c>
      <c r="G341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Master'!$F:$F,B341),"")</f>
        <v>143</v>
      </c>
      <c r="H341">
        <f>IF(AND(ISNUMBER(C341),C341&gt;='Bulk Calculator'!U32/('Bulk Calculator'!J32*'Bulk Calculator'!L32)),1,0)</f>
        <v>1</v>
      </c>
      <c r="I341">
        <f>IFERROR(IF(AND(ISNUMBER(E341),ISNUMBER(F341),E341&gt;0,F341&gt;0),SQRT(3)*'Bulk Calculator'!O32*'Bulk Calculator'!AA32*((E341*'Bulk Calculator'!Q32)+(F341*SQRT(1-'Bulk Calculator'!Q32^2)))/'Bulk Calculator'!J32/'Bulk Calculator'!K32*100,D341*'Bulk Calculator'!AA32*'Bulk Calculator'!O32/'Bulk Calculator'!J32/'Bulk Calculator'!K32*100),"")</f>
        <v>0</v>
      </c>
      <c r="J341">
        <f>IFERROR(IF(AND(ISNUMBER(E341),ISNUMBER(F341),E341&gt;0,F341&gt;0),SQRT(3)*'Bulk Calculator'!O32*'Bulk Calculator'!U32*((E341*'Bulk Calculator'!M32)+(F341*SQRT(1-'Bulk Calculator'!M32^2)))/'Bulk Calculator'!J32/'Bulk Calculator'!K32*100,D341*'Bulk Calculator'!U32*'Bulk Calculator'!O32/'Bulk Calculator'!J32/'Bulk Calculator'!K32*100),"")</f>
        <v>0</v>
      </c>
      <c r="K341">
        <f>IFERROR(G341*B341*'Bulk Calculator'!J32/SQRT('Bulk Calculator'!S32)/1000,"")</f>
        <v>59.155178344756941</v>
      </c>
      <c r="L341">
        <f>IF(OR('Bulk Calculator'!R32="",'Bulk Calculator'!S32="",G341=""),0,IF(K341&gt;='Bulk Calculator'!R32,1,0))</f>
        <v>1</v>
      </c>
      <c r="M341">
        <f>IF(AND(H341=1,I341&lt;='OS-DORAEN'!$B$6,J341&lt;='OS-DORAEN'!$B$5,L341=1),1,0)</f>
        <v>1</v>
      </c>
      <c r="N341" t="str">
        <f t="shared" si="5"/>
        <v>R/X</v>
      </c>
    </row>
    <row r="342" spans="1:14" ht="15" customHeight="1" x14ac:dyDescent="0.35">
      <c r="A342">
        <v>32</v>
      </c>
      <c r="B342">
        <v>150</v>
      </c>
      <c r="C342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Master'!$F:$F,B342),"")</f>
        <v>292</v>
      </c>
      <c r="D342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Master'!$F:$F,B342),"")</f>
        <v>0.26500000000000001</v>
      </c>
      <c r="E342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Master'!$F:$F,B342),"")</f>
        <v>0.26500000000000001</v>
      </c>
      <c r="F342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Master'!$F:$F,B342),"")</f>
        <v>7.1999999999999995E-2</v>
      </c>
      <c r="G342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Master'!$F:$F,B342),"")</f>
        <v>143</v>
      </c>
      <c r="H342">
        <f>IF(AND(ISNUMBER(C342),C342&gt;='Bulk Calculator'!U32/('Bulk Calculator'!J32*'Bulk Calculator'!L32)),1,0)</f>
        <v>1</v>
      </c>
      <c r="I342">
        <f>IFERROR(IF(AND(ISNUMBER(E342),ISNUMBER(F342),E342&gt;0,F342&gt;0),SQRT(3)*'Bulk Calculator'!O32*'Bulk Calculator'!AA32*((E342*'Bulk Calculator'!Q32)+(F342*SQRT(1-'Bulk Calculator'!Q32^2)))/'Bulk Calculator'!J32/'Bulk Calculator'!K32*100,D342*'Bulk Calculator'!AA32*'Bulk Calculator'!O32/'Bulk Calculator'!J32/'Bulk Calculator'!K32*100),"")</f>
        <v>0</v>
      </c>
      <c r="J342">
        <f>IFERROR(IF(AND(ISNUMBER(E342),ISNUMBER(F342),E342&gt;0,F342&gt;0),SQRT(3)*'Bulk Calculator'!O32*'Bulk Calculator'!U32*((E342*'Bulk Calculator'!M32)+(F342*SQRT(1-'Bulk Calculator'!M32^2)))/'Bulk Calculator'!J32/'Bulk Calculator'!K32*100,D342*'Bulk Calculator'!U32*'Bulk Calculator'!O32/'Bulk Calculator'!J32/'Bulk Calculator'!K32*100),"")</f>
        <v>0</v>
      </c>
      <c r="K342">
        <f>IFERROR(G342*B342*'Bulk Calculator'!J32/SQRT('Bulk Calculator'!S32)/1000,"")</f>
        <v>47.963658117370493</v>
      </c>
      <c r="L342">
        <f>IF(OR('Bulk Calculator'!R32="",'Bulk Calculator'!S32="",G342=""),0,IF(K342&gt;='Bulk Calculator'!R32,1,0))</f>
        <v>1</v>
      </c>
      <c r="M342">
        <f>IF(AND(H342=1,I342&lt;='OS-DORAEN'!$B$6,J342&lt;='OS-DORAEN'!$B$5,L342=1),1,0)</f>
        <v>1</v>
      </c>
      <c r="N342" t="str">
        <f t="shared" si="5"/>
        <v>R/X</v>
      </c>
    </row>
    <row r="343" spans="1:14" ht="15" customHeight="1" x14ac:dyDescent="0.35">
      <c r="A343">
        <v>32</v>
      </c>
      <c r="B343">
        <v>120</v>
      </c>
      <c r="C343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Master'!$F:$F,B343),"")</f>
        <v>257</v>
      </c>
      <c r="D343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Master'!$F:$F,B343),"")</f>
        <v>0.32500000000000001</v>
      </c>
      <c r="E343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Master'!$F:$F,B343),"")</f>
        <v>0.32500000000000001</v>
      </c>
      <c r="F343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Master'!$F:$F,B343),"")</f>
        <v>7.1999999999999995E-2</v>
      </c>
      <c r="G343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Master'!$F:$F,B343),"")</f>
        <v>143</v>
      </c>
      <c r="H343">
        <f>IF(AND(ISNUMBER(C343),C343&gt;='Bulk Calculator'!U32/('Bulk Calculator'!J32*'Bulk Calculator'!L32)),1,0)</f>
        <v>1</v>
      </c>
      <c r="I343">
        <f>IFERROR(IF(AND(ISNUMBER(E343),ISNUMBER(F343),E343&gt;0,F343&gt;0),SQRT(3)*'Bulk Calculator'!O32*'Bulk Calculator'!AA32*((E343*'Bulk Calculator'!Q32)+(F343*SQRT(1-'Bulk Calculator'!Q32^2)))/'Bulk Calculator'!J32/'Bulk Calculator'!K32*100,D343*'Bulk Calculator'!AA32*'Bulk Calculator'!O32/'Bulk Calculator'!J32/'Bulk Calculator'!K32*100),"")</f>
        <v>0</v>
      </c>
      <c r="J343">
        <f>IFERROR(IF(AND(ISNUMBER(E343),ISNUMBER(F343),E343&gt;0,F343&gt;0),SQRT(3)*'Bulk Calculator'!O32*'Bulk Calculator'!U32*((E343*'Bulk Calculator'!M32)+(F343*SQRT(1-'Bulk Calculator'!M32^2)))/'Bulk Calculator'!J32/'Bulk Calculator'!K32*100,D343*'Bulk Calculator'!U32*'Bulk Calculator'!O32/'Bulk Calculator'!J32/'Bulk Calculator'!K32*100),"")</f>
        <v>0</v>
      </c>
      <c r="K343">
        <f>IFERROR(G343*B343*'Bulk Calculator'!J32/SQRT('Bulk Calculator'!S32)/1000,"")</f>
        <v>38.370926493896391</v>
      </c>
      <c r="L343">
        <f>IF(OR('Bulk Calculator'!R32="",'Bulk Calculator'!S32="",G343=""),0,IF(K343&gt;='Bulk Calculator'!R32,1,0))</f>
        <v>1</v>
      </c>
      <c r="M343">
        <f>IF(AND(H343=1,I343&lt;='OS-DORAEN'!$B$6,J343&lt;='OS-DORAEN'!$B$5,L343=1),1,0)</f>
        <v>1</v>
      </c>
      <c r="N343" t="str">
        <f t="shared" si="5"/>
        <v>R/X</v>
      </c>
    </row>
    <row r="344" spans="1:14" ht="15" customHeight="1" x14ac:dyDescent="0.35">
      <c r="A344">
        <v>32</v>
      </c>
      <c r="B344">
        <v>95</v>
      </c>
      <c r="C344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Master'!$F:$F,B344),"")</f>
        <v>221</v>
      </c>
      <c r="D344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Master'!$F:$F,B344),"")</f>
        <v>0.41</v>
      </c>
      <c r="E344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Master'!$F:$F,B344),"")</f>
        <v>0.41</v>
      </c>
      <c r="F344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Master'!$F:$F,B344),"")</f>
        <v>7.3999999999999996E-2</v>
      </c>
      <c r="G344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Master'!$F:$F,B344),"")</f>
        <v>143</v>
      </c>
      <c r="H344">
        <f>IF(AND(ISNUMBER(C344),C344&gt;='Bulk Calculator'!U32/('Bulk Calculator'!J32*'Bulk Calculator'!L32)),1,0)</f>
        <v>1</v>
      </c>
      <c r="I344">
        <f>IFERROR(IF(AND(ISNUMBER(E344),ISNUMBER(F344),E344&gt;0,F344&gt;0),SQRT(3)*'Bulk Calculator'!O32*'Bulk Calculator'!AA32*((E344*'Bulk Calculator'!Q32)+(F344*SQRT(1-'Bulk Calculator'!Q32^2)))/'Bulk Calculator'!J32/'Bulk Calculator'!K32*100,D344*'Bulk Calculator'!AA32*'Bulk Calculator'!O32/'Bulk Calculator'!J32/'Bulk Calculator'!K32*100),"")</f>
        <v>0</v>
      </c>
      <c r="J344">
        <f>IFERROR(IF(AND(ISNUMBER(E344),ISNUMBER(F344),E344&gt;0,F344&gt;0),SQRT(3)*'Bulk Calculator'!O32*'Bulk Calculator'!U32*((E344*'Bulk Calculator'!M32)+(F344*SQRT(1-'Bulk Calculator'!M32^2)))/'Bulk Calculator'!J32/'Bulk Calculator'!K32*100,D344*'Bulk Calculator'!U32*'Bulk Calculator'!O32/'Bulk Calculator'!J32/'Bulk Calculator'!K32*100),"")</f>
        <v>0</v>
      </c>
      <c r="K344">
        <f>IFERROR(G344*B344*'Bulk Calculator'!J32/SQRT('Bulk Calculator'!S32)/1000,"")</f>
        <v>30.376983474334644</v>
      </c>
      <c r="L344">
        <f>IF(OR('Bulk Calculator'!R32="",'Bulk Calculator'!S32="",G344=""),0,IF(K344&gt;='Bulk Calculator'!R32,1,0))</f>
        <v>1</v>
      </c>
      <c r="M344">
        <f>IF(AND(H344=1,I344&lt;='OS-DORAEN'!$B$6,J344&lt;='OS-DORAEN'!$B$5,L344=1),1,0)</f>
        <v>1</v>
      </c>
      <c r="N344" t="str">
        <f t="shared" si="5"/>
        <v>R/X</v>
      </c>
    </row>
    <row r="345" spans="1:14" ht="15" customHeight="1" x14ac:dyDescent="0.35">
      <c r="A345">
        <v>32</v>
      </c>
      <c r="B345">
        <v>70</v>
      </c>
      <c r="C345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Master'!$F:$F,B345),"")</f>
        <v>179</v>
      </c>
      <c r="D345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Master'!$F:$F,B345),"")</f>
        <v>0.56699999999999995</v>
      </c>
      <c r="E345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Master'!$F:$F,B345),"")</f>
        <v>0.56699999999999995</v>
      </c>
      <c r="F345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Master'!$F:$F,B345),"")</f>
        <v>7.6999999999999999E-2</v>
      </c>
      <c r="G345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Master'!$F:$F,B345),"")</f>
        <v>143</v>
      </c>
      <c r="H345">
        <f>IF(AND(ISNUMBER(C345),C345&gt;='Bulk Calculator'!U32/('Bulk Calculator'!J32*'Bulk Calculator'!L32)),1,0)</f>
        <v>1</v>
      </c>
      <c r="I345">
        <f>IFERROR(IF(AND(ISNUMBER(E345),ISNUMBER(F345),E345&gt;0,F345&gt;0),SQRT(3)*'Bulk Calculator'!O32*'Bulk Calculator'!AA32*((E345*'Bulk Calculator'!Q32)+(F345*SQRT(1-'Bulk Calculator'!Q32^2)))/'Bulk Calculator'!J32/'Bulk Calculator'!K32*100,D345*'Bulk Calculator'!AA32*'Bulk Calculator'!O32/'Bulk Calculator'!J32/'Bulk Calculator'!K32*100),"")</f>
        <v>0</v>
      </c>
      <c r="J345">
        <f>IFERROR(IF(AND(ISNUMBER(E345),ISNUMBER(F345),E345&gt;0,F345&gt;0),SQRT(3)*'Bulk Calculator'!O32*'Bulk Calculator'!U32*((E345*'Bulk Calculator'!M32)+(F345*SQRT(1-'Bulk Calculator'!M32^2)))/'Bulk Calculator'!J32/'Bulk Calculator'!K32*100,D345*'Bulk Calculator'!U32*'Bulk Calculator'!O32/'Bulk Calculator'!J32/'Bulk Calculator'!K32*100),"")</f>
        <v>0</v>
      </c>
      <c r="K345">
        <f>IFERROR(G345*B345*'Bulk Calculator'!J32/SQRT('Bulk Calculator'!S32)/1000,"")</f>
        <v>22.383040454772893</v>
      </c>
      <c r="L345">
        <f>IF(OR('Bulk Calculator'!R32="",'Bulk Calculator'!S32="",G345=""),0,IF(K345&gt;='Bulk Calculator'!R32,1,0))</f>
        <v>1</v>
      </c>
      <c r="M345">
        <f>IF(AND(H345=1,I345&lt;='OS-DORAEN'!$B$6,J345&lt;='OS-DORAEN'!$B$5,L345=1),1,0)</f>
        <v>1</v>
      </c>
      <c r="N345" t="str">
        <f t="shared" si="5"/>
        <v>R/X</v>
      </c>
    </row>
    <row r="346" spans="1:14" ht="15" customHeight="1" x14ac:dyDescent="0.35">
      <c r="A346">
        <v>32</v>
      </c>
      <c r="B346">
        <v>50</v>
      </c>
      <c r="C346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Master'!$F:$F,B346),"")</f>
        <v>142</v>
      </c>
      <c r="D346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Master'!$F:$F,B346),"")</f>
        <v>0.82</v>
      </c>
      <c r="E346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Master'!$F:$F,B346),"")</f>
        <v>0.82</v>
      </c>
      <c r="F346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Master'!$F:$F,B346),"")</f>
        <v>7.8E-2</v>
      </c>
      <c r="G346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Master'!$F:$F,B346),"")</f>
        <v>143</v>
      </c>
      <c r="H346">
        <f>IF(AND(ISNUMBER(C346),C346&gt;='Bulk Calculator'!U32/('Bulk Calculator'!J32*'Bulk Calculator'!L32)),1,0)</f>
        <v>1</v>
      </c>
      <c r="I346">
        <f>IFERROR(IF(AND(ISNUMBER(E346),ISNUMBER(F346),E346&gt;0,F346&gt;0),SQRT(3)*'Bulk Calculator'!O32*'Bulk Calculator'!AA32*((E346*'Bulk Calculator'!Q32)+(F346*SQRT(1-'Bulk Calculator'!Q32^2)))/'Bulk Calculator'!J32/'Bulk Calculator'!K32*100,D346*'Bulk Calculator'!AA32*'Bulk Calculator'!O32/'Bulk Calculator'!J32/'Bulk Calculator'!K32*100),"")</f>
        <v>0</v>
      </c>
      <c r="J346">
        <f>IFERROR(IF(AND(ISNUMBER(E346),ISNUMBER(F346),E346&gt;0,F346&gt;0),SQRT(3)*'Bulk Calculator'!O32*'Bulk Calculator'!U32*((E346*'Bulk Calculator'!M32)+(F346*SQRT(1-'Bulk Calculator'!M32^2)))/'Bulk Calculator'!J32/'Bulk Calculator'!K32*100,D346*'Bulk Calculator'!U32*'Bulk Calculator'!O32/'Bulk Calculator'!J32/'Bulk Calculator'!K32*100),"")</f>
        <v>0</v>
      </c>
      <c r="K346">
        <f>IFERROR(G346*B346*'Bulk Calculator'!J32/SQRT('Bulk Calculator'!S32)/1000,"")</f>
        <v>15.987886039123497</v>
      </c>
      <c r="L346">
        <f>IF(OR('Bulk Calculator'!R32="",'Bulk Calculator'!S32="",G346=""),0,IF(K346&gt;='Bulk Calculator'!R32,1,0))</f>
        <v>1</v>
      </c>
      <c r="M346">
        <f>IF(AND(H346=1,I346&lt;='OS-DORAEN'!$B$6,J346&lt;='OS-DORAEN'!$B$5,L346=1),1,0)</f>
        <v>1</v>
      </c>
      <c r="N346" t="str">
        <f t="shared" si="5"/>
        <v>R/X</v>
      </c>
    </row>
    <row r="347" spans="1:14" ht="15" customHeight="1" x14ac:dyDescent="0.35">
      <c r="A347">
        <v>32</v>
      </c>
      <c r="B347">
        <v>35</v>
      </c>
      <c r="C347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Master'!$F:$F,B347),"")</f>
        <v>117</v>
      </c>
      <c r="D347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Master'!$F:$F,B347),"")</f>
        <v>1.1100000000000001</v>
      </c>
      <c r="E347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Master'!$F:$F,B347),"")</f>
        <v>1.1100000000000001</v>
      </c>
      <c r="F347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Master'!$F:$F,B347),"")</f>
        <v>0.08</v>
      </c>
      <c r="G347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Master'!$F:$F,B347),"")</f>
        <v>143</v>
      </c>
      <c r="H347">
        <f>IF(AND(ISNUMBER(C347),C347&gt;='Bulk Calculator'!U32/('Bulk Calculator'!J32*'Bulk Calculator'!L32)),1,0)</f>
        <v>1</v>
      </c>
      <c r="I347">
        <f>IFERROR(IF(AND(ISNUMBER(E347),ISNUMBER(F347),E347&gt;0,F347&gt;0),SQRT(3)*'Bulk Calculator'!O32*'Bulk Calculator'!AA32*((E347*'Bulk Calculator'!Q32)+(F347*SQRT(1-'Bulk Calculator'!Q32^2)))/'Bulk Calculator'!J32/'Bulk Calculator'!K32*100,D347*'Bulk Calculator'!AA32*'Bulk Calculator'!O32/'Bulk Calculator'!J32/'Bulk Calculator'!K32*100),"")</f>
        <v>0</v>
      </c>
      <c r="J347">
        <f>IFERROR(IF(AND(ISNUMBER(E347),ISNUMBER(F347),E347&gt;0,F347&gt;0),SQRT(3)*'Bulk Calculator'!O32*'Bulk Calculator'!U32*((E347*'Bulk Calculator'!M32)+(F347*SQRT(1-'Bulk Calculator'!M32^2)))/'Bulk Calculator'!J32/'Bulk Calculator'!K32*100,D347*'Bulk Calculator'!U32*'Bulk Calculator'!O32/'Bulk Calculator'!J32/'Bulk Calculator'!K32*100),"")</f>
        <v>0</v>
      </c>
      <c r="K347">
        <f>IFERROR(G347*B347*'Bulk Calculator'!J32/SQRT('Bulk Calculator'!S32)/1000,"")</f>
        <v>11.191520227386446</v>
      </c>
      <c r="L347">
        <f>IF(OR('Bulk Calculator'!R32="",'Bulk Calculator'!S32="",G347=""),0,IF(K347&gt;='Bulk Calculator'!R32,1,0))</f>
        <v>1</v>
      </c>
      <c r="M347">
        <f>IF(AND(H347=1,I347&lt;='OS-DORAEN'!$B$6,J347&lt;='OS-DORAEN'!$B$5,L347=1),1,0)</f>
        <v>1</v>
      </c>
      <c r="N347" t="str">
        <f t="shared" si="5"/>
        <v>R/X</v>
      </c>
    </row>
    <row r="348" spans="1:14" ht="15" customHeight="1" x14ac:dyDescent="0.35">
      <c r="A348">
        <v>32</v>
      </c>
      <c r="B348">
        <v>25</v>
      </c>
      <c r="C348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Master'!$F:$F,B348),"")</f>
        <v>96</v>
      </c>
      <c r="D348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Master'!$F:$F,B348),"")</f>
        <v>1.54</v>
      </c>
      <c r="E348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Master'!$F:$F,B348),"")</f>
        <v>1.54</v>
      </c>
      <c r="F348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Master'!$F:$F,B348),"")</f>
        <v>0.08</v>
      </c>
      <c r="G348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Master'!$F:$F,B348),"")</f>
        <v>143</v>
      </c>
      <c r="H348">
        <f>IF(AND(ISNUMBER(C348),C348&gt;='Bulk Calculator'!U32/('Bulk Calculator'!J32*'Bulk Calculator'!L32)),1,0)</f>
        <v>1</v>
      </c>
      <c r="I348">
        <f>IFERROR(IF(AND(ISNUMBER(E348),ISNUMBER(F348),E348&gt;0,F348&gt;0),SQRT(3)*'Bulk Calculator'!O32*'Bulk Calculator'!AA32*((E348*'Bulk Calculator'!Q32)+(F348*SQRT(1-'Bulk Calculator'!Q32^2)))/'Bulk Calculator'!J32/'Bulk Calculator'!K32*100,D348*'Bulk Calculator'!AA32*'Bulk Calculator'!O32/'Bulk Calculator'!J32/'Bulk Calculator'!K32*100),"")</f>
        <v>0</v>
      </c>
      <c r="J348">
        <f>IFERROR(IF(AND(ISNUMBER(E348),ISNUMBER(F348),E348&gt;0,F348&gt;0),SQRT(3)*'Bulk Calculator'!O32*'Bulk Calculator'!U32*((E348*'Bulk Calculator'!M32)+(F348*SQRT(1-'Bulk Calculator'!M32^2)))/'Bulk Calculator'!J32/'Bulk Calculator'!K32*100,D348*'Bulk Calculator'!U32*'Bulk Calculator'!O32/'Bulk Calculator'!J32/'Bulk Calculator'!K32*100),"")</f>
        <v>0</v>
      </c>
      <c r="K348">
        <f>IFERROR(G348*B348*'Bulk Calculator'!J32/SQRT('Bulk Calculator'!S32)/1000,"")</f>
        <v>7.9939430195617485</v>
      </c>
      <c r="L348">
        <f>IF(OR('Bulk Calculator'!R32="",'Bulk Calculator'!S32="",G348=""),0,IF(K348&gt;='Bulk Calculator'!R32,1,0))</f>
        <v>1</v>
      </c>
      <c r="M348">
        <f>IF(AND(H348=1,I348&lt;='OS-DORAEN'!$B$6,J348&lt;='OS-DORAEN'!$B$5,L348=1),1,0)</f>
        <v>1</v>
      </c>
      <c r="N348" t="str">
        <f t="shared" si="5"/>
        <v>R/X</v>
      </c>
    </row>
    <row r="349" spans="1:14" ht="15" customHeight="1" x14ac:dyDescent="0.35">
      <c r="A349">
        <v>32</v>
      </c>
      <c r="B349">
        <v>16</v>
      </c>
      <c r="C349">
        <f>IFERROR(SUMIFS('Cable Data Master'!$G:$G,'Cable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Master'!$F:$F,B349),"")</f>
        <v>0</v>
      </c>
      <c r="D349">
        <f>IFERROR(SUMIFS('Cable Data Master'!$K:$K,'Cable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Master'!$F:$F,B349),"")</f>
        <v>0</v>
      </c>
      <c r="E349">
        <f>IFERROR(SUMIFS('Cable Data Master'!$H:$H,'Cable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Master'!$F:$F,B349),"")</f>
        <v>0</v>
      </c>
      <c r="F349">
        <f>IFERROR(SUMIFS('Cable Data Master'!$I:$I,'Cable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Master'!$F:$F,B349),"")</f>
        <v>0</v>
      </c>
      <c r="G349">
        <f>IFERROR(SUMIFS('Cable Data Master'!$J:$J,'Cable Data Master'!$A:$A,'Bulk Calculator'!$BF32,'Cable Data Master'!$B:$B,'Bulk Calculator'!$BG32,'Cable Data Master'!$C:$C,'Bulk Calculator'!$BH32,'Cable Data Master'!$D:$D,'Bulk Calculator'!$BI32,'Cable Data Master'!$E:$E,'Bulk Calculator'!$BJ32,'Cable Data Master'!$F:$F,B349),"")</f>
        <v>0</v>
      </c>
      <c r="H349">
        <f>IF(AND(ISNUMBER(C349),C349&gt;='Bulk Calculator'!U32/('Bulk Calculator'!J32*'Bulk Calculator'!L32)),1,0)</f>
        <v>1</v>
      </c>
      <c r="I349">
        <f>IFERROR(IF(AND(ISNUMBER(E349),ISNUMBER(F349),E349&gt;0,F349&gt;0),SQRT(3)*'Bulk Calculator'!O32*'Bulk Calculator'!AA32*((E349*'Bulk Calculator'!Q32)+(F349*SQRT(1-'Bulk Calculator'!Q32^2)))/'Bulk Calculator'!J32/'Bulk Calculator'!K32*100,D349*'Bulk Calculator'!AA32*'Bulk Calculator'!O32/'Bulk Calculator'!J32/'Bulk Calculator'!K32*100),"")</f>
        <v>0</v>
      </c>
      <c r="J349">
        <f>IFERROR(IF(AND(ISNUMBER(E349),ISNUMBER(F349),E349&gt;0,F349&gt;0),SQRT(3)*'Bulk Calculator'!O32*'Bulk Calculator'!U32*((E349*'Bulk Calculator'!M32)+(F349*SQRT(1-'Bulk Calculator'!M32^2)))/'Bulk Calculator'!J32/'Bulk Calculator'!K32*100,D349*'Bulk Calculator'!U32*'Bulk Calculator'!O32/'Bulk Calculator'!J32/'Bulk Calculator'!K32*100),"")</f>
        <v>0</v>
      </c>
      <c r="K349">
        <f>IFERROR(G349*B349*'Bulk Calculator'!J32/SQRT('Bulk Calculator'!S32)/1000,"")</f>
        <v>0</v>
      </c>
      <c r="L349">
        <f>IF(OR('Bulk Calculator'!R32="",'Bulk Calculator'!S32="",G349=""),0,IF(K349&gt;='Bulk Calculator'!R32,1,0))</f>
        <v>1</v>
      </c>
      <c r="M349">
        <f>IF(AND(H349=1,I349&lt;='OS-DORAEN'!$B$6,J349&lt;='OS-DORAEN'!$B$5,L349=1),1,0)</f>
        <v>1</v>
      </c>
      <c r="N349" t="str">
        <f t="shared" si="5"/>
        <v>Manufacturer VD Ref</v>
      </c>
    </row>
    <row r="350" spans="1:14" ht="15" customHeight="1" x14ac:dyDescent="0.35">
      <c r="A350">
        <v>33</v>
      </c>
      <c r="B350">
        <v>400</v>
      </c>
      <c r="C350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Master'!$F:$F,B350),"")</f>
        <v>530</v>
      </c>
      <c r="D350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Master'!$F:$F,B350),"")</f>
        <v>0.1023</v>
      </c>
      <c r="E350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Master'!$F:$F,B350),"")</f>
        <v>0.1023</v>
      </c>
      <c r="F350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Master'!$F:$F,B350),"")</f>
        <v>7.0000000000000007E-2</v>
      </c>
      <c r="G350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Master'!$F:$F,B350),"")</f>
        <v>143</v>
      </c>
      <c r="H350">
        <f>IF(AND(ISNUMBER(C350),C350&gt;='Bulk Calculator'!U33/('Bulk Calculator'!J33*'Bulk Calculator'!L33)),1,0)</f>
        <v>1</v>
      </c>
      <c r="I350">
        <f>IFERROR(IF(AND(ISNUMBER(E350),ISNUMBER(F350),E350&gt;0,F350&gt;0),SQRT(3)*'Bulk Calculator'!O33*'Bulk Calculator'!AA33*((E350*'Bulk Calculator'!Q33)+(F350*SQRT(1-'Bulk Calculator'!Q33^2)))/'Bulk Calculator'!J33/'Bulk Calculator'!K33*100,D350*'Bulk Calculator'!AA33*'Bulk Calculator'!O33/'Bulk Calculator'!J33/'Bulk Calculator'!K33*100),"")</f>
        <v>0</v>
      </c>
      <c r="J350">
        <f>IFERROR(IF(AND(ISNUMBER(E350),ISNUMBER(F350),E350&gt;0,F350&gt;0),SQRT(3)*'Bulk Calculator'!O33*'Bulk Calculator'!U33*((E350*'Bulk Calculator'!M33)+(F350*SQRT(1-'Bulk Calculator'!M33^2)))/'Bulk Calculator'!J33/'Bulk Calculator'!K33*100,D350*'Bulk Calculator'!U33*'Bulk Calculator'!O33/'Bulk Calculator'!J33/'Bulk Calculator'!K33*100),"")</f>
        <v>0</v>
      </c>
      <c r="K350">
        <f>IFERROR(G350*B350*'Bulk Calculator'!J33/SQRT('Bulk Calculator'!S33)/1000,"")</f>
        <v>127.90308831298798</v>
      </c>
      <c r="L350">
        <f>IF(OR('Bulk Calculator'!R33="",'Bulk Calculator'!S33="",G350=""),0,IF(K350&gt;='Bulk Calculator'!R33,1,0))</f>
        <v>1</v>
      </c>
      <c r="M350">
        <f>IF(AND(H350=1,I350&lt;='OS-DORAEN'!$B$6,J350&lt;='OS-DORAEN'!$B$5,L350=1),1,0)</f>
        <v>1</v>
      </c>
      <c r="N350" t="str">
        <f t="shared" si="5"/>
        <v>R/X</v>
      </c>
    </row>
    <row r="351" spans="1:14" ht="15" customHeight="1" x14ac:dyDescent="0.35">
      <c r="A351">
        <v>33</v>
      </c>
      <c r="B351">
        <v>300</v>
      </c>
      <c r="C351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Master'!$F:$F,B351),"")</f>
        <v>455</v>
      </c>
      <c r="D351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Master'!$F:$F,B351),"")</f>
        <v>0.13</v>
      </c>
      <c r="E351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Master'!$F:$F,B351),"")</f>
        <v>0.13</v>
      </c>
      <c r="F351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Master'!$F:$F,B351),"")</f>
        <v>7.0999999999999994E-2</v>
      </c>
      <c r="G351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Master'!$F:$F,B351),"")</f>
        <v>143</v>
      </c>
      <c r="H351">
        <f>IF(AND(ISNUMBER(C351),C351&gt;='Bulk Calculator'!U33/('Bulk Calculator'!J33*'Bulk Calculator'!L33)),1,0)</f>
        <v>1</v>
      </c>
      <c r="I351">
        <f>IFERROR(IF(AND(ISNUMBER(E351),ISNUMBER(F351),E351&gt;0,F351&gt;0),SQRT(3)*'Bulk Calculator'!O33*'Bulk Calculator'!AA33*((E351*'Bulk Calculator'!Q33)+(F351*SQRT(1-'Bulk Calculator'!Q33^2)))/'Bulk Calculator'!J33/'Bulk Calculator'!K33*100,D351*'Bulk Calculator'!AA33*'Bulk Calculator'!O33/'Bulk Calculator'!J33/'Bulk Calculator'!K33*100),"")</f>
        <v>0</v>
      </c>
      <c r="J351">
        <f>IFERROR(IF(AND(ISNUMBER(E351),ISNUMBER(F351),E351&gt;0,F351&gt;0),SQRT(3)*'Bulk Calculator'!O33*'Bulk Calculator'!U33*((E351*'Bulk Calculator'!M33)+(F351*SQRT(1-'Bulk Calculator'!M33^2)))/'Bulk Calculator'!J33/'Bulk Calculator'!K33*100,D351*'Bulk Calculator'!U33*'Bulk Calculator'!O33/'Bulk Calculator'!J33/'Bulk Calculator'!K33*100),"")</f>
        <v>0</v>
      </c>
      <c r="K351">
        <f>IFERROR(G351*B351*'Bulk Calculator'!J33/SQRT('Bulk Calculator'!S33)/1000,"")</f>
        <v>95.927316234740985</v>
      </c>
      <c r="L351">
        <f>IF(OR('Bulk Calculator'!R33="",'Bulk Calculator'!S33="",G351=""),0,IF(K351&gt;='Bulk Calculator'!R33,1,0))</f>
        <v>1</v>
      </c>
      <c r="M351">
        <f>IF(AND(H351=1,I351&lt;='OS-DORAEN'!$B$6,J351&lt;='OS-DORAEN'!$B$5,L351=1),1,0)</f>
        <v>1</v>
      </c>
      <c r="N351" t="str">
        <f t="shared" si="5"/>
        <v>R/X</v>
      </c>
    </row>
    <row r="352" spans="1:14" ht="15" customHeight="1" x14ac:dyDescent="0.35">
      <c r="A352">
        <v>33</v>
      </c>
      <c r="B352">
        <v>240</v>
      </c>
      <c r="C352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Master'!$F:$F,B352),"")</f>
        <v>399</v>
      </c>
      <c r="D352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Master'!$F:$F,B352),"")</f>
        <v>0.16200000000000001</v>
      </c>
      <c r="E352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Master'!$F:$F,B352),"")</f>
        <v>0.16200000000000001</v>
      </c>
      <c r="F352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Master'!$F:$F,B352),"")</f>
        <v>7.1999999999999995E-2</v>
      </c>
      <c r="G352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Master'!$F:$F,B352),"")</f>
        <v>143</v>
      </c>
      <c r="H352">
        <f>IF(AND(ISNUMBER(C352),C352&gt;='Bulk Calculator'!U33/('Bulk Calculator'!J33*'Bulk Calculator'!L33)),1,0)</f>
        <v>1</v>
      </c>
      <c r="I352">
        <f>IFERROR(IF(AND(ISNUMBER(E352),ISNUMBER(F352),E352&gt;0,F352&gt;0),SQRT(3)*'Bulk Calculator'!O33*'Bulk Calculator'!AA33*((E352*'Bulk Calculator'!Q33)+(F352*SQRT(1-'Bulk Calculator'!Q33^2)))/'Bulk Calculator'!J33/'Bulk Calculator'!K33*100,D352*'Bulk Calculator'!AA33*'Bulk Calculator'!O33/'Bulk Calculator'!J33/'Bulk Calculator'!K33*100),"")</f>
        <v>0</v>
      </c>
      <c r="J352">
        <f>IFERROR(IF(AND(ISNUMBER(E352),ISNUMBER(F352),E352&gt;0,F352&gt;0),SQRT(3)*'Bulk Calculator'!O33*'Bulk Calculator'!U33*((E352*'Bulk Calculator'!M33)+(F352*SQRT(1-'Bulk Calculator'!M33^2)))/'Bulk Calculator'!J33/'Bulk Calculator'!K33*100,D352*'Bulk Calculator'!U33*'Bulk Calculator'!O33/'Bulk Calculator'!J33/'Bulk Calculator'!K33*100),"")</f>
        <v>0</v>
      </c>
      <c r="K352">
        <f>IFERROR(G352*B352*'Bulk Calculator'!J33/SQRT('Bulk Calculator'!S33)/1000,"")</f>
        <v>76.741852987792782</v>
      </c>
      <c r="L352">
        <f>IF(OR('Bulk Calculator'!R33="",'Bulk Calculator'!S33="",G352=""),0,IF(K352&gt;='Bulk Calculator'!R33,1,0))</f>
        <v>1</v>
      </c>
      <c r="M352">
        <f>IF(AND(H352=1,I352&lt;='OS-DORAEN'!$B$6,J352&lt;='OS-DORAEN'!$B$5,L352=1),1,0)</f>
        <v>1</v>
      </c>
      <c r="N352" t="str">
        <f t="shared" si="5"/>
        <v>R/X</v>
      </c>
    </row>
    <row r="353" spans="1:14" ht="15" customHeight="1" x14ac:dyDescent="0.35">
      <c r="A353">
        <v>33</v>
      </c>
      <c r="B353">
        <v>185</v>
      </c>
      <c r="C353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Master'!$F:$F,B353),"")</f>
        <v>337</v>
      </c>
      <c r="D353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Master'!$F:$F,B353),"")</f>
        <v>0.21099999999999999</v>
      </c>
      <c r="E353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Master'!$F:$F,B353),"")</f>
        <v>0.21099999999999999</v>
      </c>
      <c r="F353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Master'!$F:$F,B353),"")</f>
        <v>7.1999999999999995E-2</v>
      </c>
      <c r="G353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Master'!$F:$F,B353),"")</f>
        <v>143</v>
      </c>
      <c r="H353">
        <f>IF(AND(ISNUMBER(C353),C353&gt;='Bulk Calculator'!U33/('Bulk Calculator'!J33*'Bulk Calculator'!L33)),1,0)</f>
        <v>1</v>
      </c>
      <c r="I353">
        <f>IFERROR(IF(AND(ISNUMBER(E353),ISNUMBER(F353),E353&gt;0,F353&gt;0),SQRT(3)*'Bulk Calculator'!O33*'Bulk Calculator'!AA33*((E353*'Bulk Calculator'!Q33)+(F353*SQRT(1-'Bulk Calculator'!Q33^2)))/'Bulk Calculator'!J33/'Bulk Calculator'!K33*100,D353*'Bulk Calculator'!AA33*'Bulk Calculator'!O33/'Bulk Calculator'!J33/'Bulk Calculator'!K33*100),"")</f>
        <v>0</v>
      </c>
      <c r="J353">
        <f>IFERROR(IF(AND(ISNUMBER(E353),ISNUMBER(F353),E353&gt;0,F353&gt;0),SQRT(3)*'Bulk Calculator'!O33*'Bulk Calculator'!U33*((E353*'Bulk Calculator'!M33)+(F353*SQRT(1-'Bulk Calculator'!M33^2)))/'Bulk Calculator'!J33/'Bulk Calculator'!K33*100,D353*'Bulk Calculator'!U33*'Bulk Calculator'!O33/'Bulk Calculator'!J33/'Bulk Calculator'!K33*100),"")</f>
        <v>0</v>
      </c>
      <c r="K353">
        <f>IFERROR(G353*B353*'Bulk Calculator'!J33/SQRT('Bulk Calculator'!S33)/1000,"")</f>
        <v>59.155178344756941</v>
      </c>
      <c r="L353">
        <f>IF(OR('Bulk Calculator'!R33="",'Bulk Calculator'!S33="",G353=""),0,IF(K353&gt;='Bulk Calculator'!R33,1,0))</f>
        <v>1</v>
      </c>
      <c r="M353">
        <f>IF(AND(H353=1,I353&lt;='OS-DORAEN'!$B$6,J353&lt;='OS-DORAEN'!$B$5,L353=1),1,0)</f>
        <v>1</v>
      </c>
      <c r="N353" t="str">
        <f t="shared" si="5"/>
        <v>R/X</v>
      </c>
    </row>
    <row r="354" spans="1:14" ht="15" customHeight="1" x14ac:dyDescent="0.35">
      <c r="A354">
        <v>33</v>
      </c>
      <c r="B354">
        <v>150</v>
      </c>
      <c r="C354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Master'!$F:$F,B354),"")</f>
        <v>292</v>
      </c>
      <c r="D354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Master'!$F:$F,B354),"")</f>
        <v>0.26500000000000001</v>
      </c>
      <c r="E354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Master'!$F:$F,B354),"")</f>
        <v>0.26500000000000001</v>
      </c>
      <c r="F354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Master'!$F:$F,B354),"")</f>
        <v>7.1999999999999995E-2</v>
      </c>
      <c r="G354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Master'!$F:$F,B354),"")</f>
        <v>143</v>
      </c>
      <c r="H354">
        <f>IF(AND(ISNUMBER(C354),C354&gt;='Bulk Calculator'!U33/('Bulk Calculator'!J33*'Bulk Calculator'!L33)),1,0)</f>
        <v>1</v>
      </c>
      <c r="I354">
        <f>IFERROR(IF(AND(ISNUMBER(E354),ISNUMBER(F354),E354&gt;0,F354&gt;0),SQRT(3)*'Bulk Calculator'!O33*'Bulk Calculator'!AA33*((E354*'Bulk Calculator'!Q33)+(F354*SQRT(1-'Bulk Calculator'!Q33^2)))/'Bulk Calculator'!J33/'Bulk Calculator'!K33*100,D354*'Bulk Calculator'!AA33*'Bulk Calculator'!O33/'Bulk Calculator'!J33/'Bulk Calculator'!K33*100),"")</f>
        <v>0</v>
      </c>
      <c r="J354">
        <f>IFERROR(IF(AND(ISNUMBER(E354),ISNUMBER(F354),E354&gt;0,F354&gt;0),SQRT(3)*'Bulk Calculator'!O33*'Bulk Calculator'!U33*((E354*'Bulk Calculator'!M33)+(F354*SQRT(1-'Bulk Calculator'!M33^2)))/'Bulk Calculator'!J33/'Bulk Calculator'!K33*100,D354*'Bulk Calculator'!U33*'Bulk Calculator'!O33/'Bulk Calculator'!J33/'Bulk Calculator'!K33*100),"")</f>
        <v>0</v>
      </c>
      <c r="K354">
        <f>IFERROR(G354*B354*'Bulk Calculator'!J33/SQRT('Bulk Calculator'!S33)/1000,"")</f>
        <v>47.963658117370493</v>
      </c>
      <c r="L354">
        <f>IF(OR('Bulk Calculator'!R33="",'Bulk Calculator'!S33="",G354=""),0,IF(K354&gt;='Bulk Calculator'!R33,1,0))</f>
        <v>1</v>
      </c>
      <c r="M354">
        <f>IF(AND(H354=1,I354&lt;='OS-DORAEN'!$B$6,J354&lt;='OS-DORAEN'!$B$5,L354=1),1,0)</f>
        <v>1</v>
      </c>
      <c r="N354" t="str">
        <f t="shared" si="5"/>
        <v>R/X</v>
      </c>
    </row>
    <row r="355" spans="1:14" ht="15" customHeight="1" x14ac:dyDescent="0.35">
      <c r="A355">
        <v>33</v>
      </c>
      <c r="B355">
        <v>120</v>
      </c>
      <c r="C355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Master'!$F:$F,B355),"")</f>
        <v>257</v>
      </c>
      <c r="D355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Master'!$F:$F,B355),"")</f>
        <v>0.32500000000000001</v>
      </c>
      <c r="E355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Master'!$F:$F,B355),"")</f>
        <v>0.32500000000000001</v>
      </c>
      <c r="F355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Master'!$F:$F,B355),"")</f>
        <v>7.1999999999999995E-2</v>
      </c>
      <c r="G355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Master'!$F:$F,B355),"")</f>
        <v>143</v>
      </c>
      <c r="H355">
        <f>IF(AND(ISNUMBER(C355),C355&gt;='Bulk Calculator'!U33/('Bulk Calculator'!J33*'Bulk Calculator'!L33)),1,0)</f>
        <v>1</v>
      </c>
      <c r="I355">
        <f>IFERROR(IF(AND(ISNUMBER(E355),ISNUMBER(F355),E355&gt;0,F355&gt;0),SQRT(3)*'Bulk Calculator'!O33*'Bulk Calculator'!AA33*((E355*'Bulk Calculator'!Q33)+(F355*SQRT(1-'Bulk Calculator'!Q33^2)))/'Bulk Calculator'!J33/'Bulk Calculator'!K33*100,D355*'Bulk Calculator'!AA33*'Bulk Calculator'!O33/'Bulk Calculator'!J33/'Bulk Calculator'!K33*100),"")</f>
        <v>0</v>
      </c>
      <c r="J355">
        <f>IFERROR(IF(AND(ISNUMBER(E355),ISNUMBER(F355),E355&gt;0,F355&gt;0),SQRT(3)*'Bulk Calculator'!O33*'Bulk Calculator'!U33*((E355*'Bulk Calculator'!M33)+(F355*SQRT(1-'Bulk Calculator'!M33^2)))/'Bulk Calculator'!J33/'Bulk Calculator'!K33*100,D355*'Bulk Calculator'!U33*'Bulk Calculator'!O33/'Bulk Calculator'!J33/'Bulk Calculator'!K33*100),"")</f>
        <v>0</v>
      </c>
      <c r="K355">
        <f>IFERROR(G355*B355*'Bulk Calculator'!J33/SQRT('Bulk Calculator'!S33)/1000,"")</f>
        <v>38.370926493896391</v>
      </c>
      <c r="L355">
        <f>IF(OR('Bulk Calculator'!R33="",'Bulk Calculator'!S33="",G355=""),0,IF(K355&gt;='Bulk Calculator'!R33,1,0))</f>
        <v>1</v>
      </c>
      <c r="M355">
        <f>IF(AND(H355=1,I355&lt;='OS-DORAEN'!$B$6,J355&lt;='OS-DORAEN'!$B$5,L355=1),1,0)</f>
        <v>1</v>
      </c>
      <c r="N355" t="str">
        <f t="shared" si="5"/>
        <v>R/X</v>
      </c>
    </row>
    <row r="356" spans="1:14" ht="15" customHeight="1" x14ac:dyDescent="0.35">
      <c r="A356">
        <v>33</v>
      </c>
      <c r="B356">
        <v>95</v>
      </c>
      <c r="C356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Master'!$F:$F,B356),"")</f>
        <v>221</v>
      </c>
      <c r="D356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Master'!$F:$F,B356),"")</f>
        <v>0.41</v>
      </c>
      <c r="E356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Master'!$F:$F,B356),"")</f>
        <v>0.41</v>
      </c>
      <c r="F356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Master'!$F:$F,B356),"")</f>
        <v>7.3999999999999996E-2</v>
      </c>
      <c r="G356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Master'!$F:$F,B356),"")</f>
        <v>143</v>
      </c>
      <c r="H356">
        <f>IF(AND(ISNUMBER(C356),C356&gt;='Bulk Calculator'!U33/('Bulk Calculator'!J33*'Bulk Calculator'!L33)),1,0)</f>
        <v>1</v>
      </c>
      <c r="I356">
        <f>IFERROR(IF(AND(ISNUMBER(E356),ISNUMBER(F356),E356&gt;0,F356&gt;0),SQRT(3)*'Bulk Calculator'!O33*'Bulk Calculator'!AA33*((E356*'Bulk Calculator'!Q33)+(F356*SQRT(1-'Bulk Calculator'!Q33^2)))/'Bulk Calculator'!J33/'Bulk Calculator'!K33*100,D356*'Bulk Calculator'!AA33*'Bulk Calculator'!O33/'Bulk Calculator'!J33/'Bulk Calculator'!K33*100),"")</f>
        <v>0</v>
      </c>
      <c r="J356">
        <f>IFERROR(IF(AND(ISNUMBER(E356),ISNUMBER(F356),E356&gt;0,F356&gt;0),SQRT(3)*'Bulk Calculator'!O33*'Bulk Calculator'!U33*((E356*'Bulk Calculator'!M33)+(F356*SQRT(1-'Bulk Calculator'!M33^2)))/'Bulk Calculator'!J33/'Bulk Calculator'!K33*100,D356*'Bulk Calculator'!U33*'Bulk Calculator'!O33/'Bulk Calculator'!J33/'Bulk Calculator'!K33*100),"")</f>
        <v>0</v>
      </c>
      <c r="K356">
        <f>IFERROR(G356*B356*'Bulk Calculator'!J33/SQRT('Bulk Calculator'!S33)/1000,"")</f>
        <v>30.376983474334644</v>
      </c>
      <c r="L356">
        <f>IF(OR('Bulk Calculator'!R33="",'Bulk Calculator'!S33="",G356=""),0,IF(K356&gt;='Bulk Calculator'!R33,1,0))</f>
        <v>1</v>
      </c>
      <c r="M356">
        <f>IF(AND(H356=1,I356&lt;='OS-DORAEN'!$B$6,J356&lt;='OS-DORAEN'!$B$5,L356=1),1,0)</f>
        <v>1</v>
      </c>
      <c r="N356" t="str">
        <f t="shared" si="5"/>
        <v>R/X</v>
      </c>
    </row>
    <row r="357" spans="1:14" ht="15" customHeight="1" x14ac:dyDescent="0.35">
      <c r="A357">
        <v>33</v>
      </c>
      <c r="B357">
        <v>70</v>
      </c>
      <c r="C357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Master'!$F:$F,B357),"")</f>
        <v>179</v>
      </c>
      <c r="D357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Master'!$F:$F,B357),"")</f>
        <v>0.56699999999999995</v>
      </c>
      <c r="E357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Master'!$F:$F,B357),"")</f>
        <v>0.56699999999999995</v>
      </c>
      <c r="F357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Master'!$F:$F,B357),"")</f>
        <v>7.6999999999999999E-2</v>
      </c>
      <c r="G357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Master'!$F:$F,B357),"")</f>
        <v>143</v>
      </c>
      <c r="H357">
        <f>IF(AND(ISNUMBER(C357),C357&gt;='Bulk Calculator'!U33/('Bulk Calculator'!J33*'Bulk Calculator'!L33)),1,0)</f>
        <v>1</v>
      </c>
      <c r="I357">
        <f>IFERROR(IF(AND(ISNUMBER(E357),ISNUMBER(F357),E357&gt;0,F357&gt;0),SQRT(3)*'Bulk Calculator'!O33*'Bulk Calculator'!AA33*((E357*'Bulk Calculator'!Q33)+(F357*SQRT(1-'Bulk Calculator'!Q33^2)))/'Bulk Calculator'!J33/'Bulk Calculator'!K33*100,D357*'Bulk Calculator'!AA33*'Bulk Calculator'!O33/'Bulk Calculator'!J33/'Bulk Calculator'!K33*100),"")</f>
        <v>0</v>
      </c>
      <c r="J357">
        <f>IFERROR(IF(AND(ISNUMBER(E357),ISNUMBER(F357),E357&gt;0,F357&gt;0),SQRT(3)*'Bulk Calculator'!O33*'Bulk Calculator'!U33*((E357*'Bulk Calculator'!M33)+(F357*SQRT(1-'Bulk Calculator'!M33^2)))/'Bulk Calculator'!J33/'Bulk Calculator'!K33*100,D357*'Bulk Calculator'!U33*'Bulk Calculator'!O33/'Bulk Calculator'!J33/'Bulk Calculator'!K33*100),"")</f>
        <v>0</v>
      </c>
      <c r="K357">
        <f>IFERROR(G357*B357*'Bulk Calculator'!J33/SQRT('Bulk Calculator'!S33)/1000,"")</f>
        <v>22.383040454772893</v>
      </c>
      <c r="L357">
        <f>IF(OR('Bulk Calculator'!R33="",'Bulk Calculator'!S33="",G357=""),0,IF(K357&gt;='Bulk Calculator'!R33,1,0))</f>
        <v>1</v>
      </c>
      <c r="M357">
        <f>IF(AND(H357=1,I357&lt;='OS-DORAEN'!$B$6,J357&lt;='OS-DORAEN'!$B$5,L357=1),1,0)</f>
        <v>1</v>
      </c>
      <c r="N357" t="str">
        <f t="shared" si="5"/>
        <v>R/X</v>
      </c>
    </row>
    <row r="358" spans="1:14" ht="15" customHeight="1" x14ac:dyDescent="0.35">
      <c r="A358">
        <v>33</v>
      </c>
      <c r="B358">
        <v>50</v>
      </c>
      <c r="C358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Master'!$F:$F,B358),"")</f>
        <v>142</v>
      </c>
      <c r="D358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Master'!$F:$F,B358),"")</f>
        <v>0.82</v>
      </c>
      <c r="E358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Master'!$F:$F,B358),"")</f>
        <v>0.82</v>
      </c>
      <c r="F358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Master'!$F:$F,B358),"")</f>
        <v>7.8E-2</v>
      </c>
      <c r="G358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Master'!$F:$F,B358),"")</f>
        <v>143</v>
      </c>
      <c r="H358">
        <f>IF(AND(ISNUMBER(C358),C358&gt;='Bulk Calculator'!U33/('Bulk Calculator'!J33*'Bulk Calculator'!L33)),1,0)</f>
        <v>1</v>
      </c>
      <c r="I358">
        <f>IFERROR(IF(AND(ISNUMBER(E358),ISNUMBER(F358),E358&gt;0,F358&gt;0),SQRT(3)*'Bulk Calculator'!O33*'Bulk Calculator'!AA33*((E358*'Bulk Calculator'!Q33)+(F358*SQRT(1-'Bulk Calculator'!Q33^2)))/'Bulk Calculator'!J33/'Bulk Calculator'!K33*100,D358*'Bulk Calculator'!AA33*'Bulk Calculator'!O33/'Bulk Calculator'!J33/'Bulk Calculator'!K33*100),"")</f>
        <v>0</v>
      </c>
      <c r="J358">
        <f>IFERROR(IF(AND(ISNUMBER(E358),ISNUMBER(F358),E358&gt;0,F358&gt;0),SQRT(3)*'Bulk Calculator'!O33*'Bulk Calculator'!U33*((E358*'Bulk Calculator'!M33)+(F358*SQRT(1-'Bulk Calculator'!M33^2)))/'Bulk Calculator'!J33/'Bulk Calculator'!K33*100,D358*'Bulk Calculator'!U33*'Bulk Calculator'!O33/'Bulk Calculator'!J33/'Bulk Calculator'!K33*100),"")</f>
        <v>0</v>
      </c>
      <c r="K358">
        <f>IFERROR(G358*B358*'Bulk Calculator'!J33/SQRT('Bulk Calculator'!S33)/1000,"")</f>
        <v>15.987886039123497</v>
      </c>
      <c r="L358">
        <f>IF(OR('Bulk Calculator'!R33="",'Bulk Calculator'!S33="",G358=""),0,IF(K358&gt;='Bulk Calculator'!R33,1,0))</f>
        <v>1</v>
      </c>
      <c r="M358">
        <f>IF(AND(H358=1,I358&lt;='OS-DORAEN'!$B$6,J358&lt;='OS-DORAEN'!$B$5,L358=1),1,0)</f>
        <v>1</v>
      </c>
      <c r="N358" t="str">
        <f t="shared" si="5"/>
        <v>R/X</v>
      </c>
    </row>
    <row r="359" spans="1:14" ht="15" customHeight="1" x14ac:dyDescent="0.35">
      <c r="A359">
        <v>33</v>
      </c>
      <c r="B359">
        <v>35</v>
      </c>
      <c r="C359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Master'!$F:$F,B359),"")</f>
        <v>117</v>
      </c>
      <c r="D359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Master'!$F:$F,B359),"")</f>
        <v>1.1100000000000001</v>
      </c>
      <c r="E359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Master'!$F:$F,B359),"")</f>
        <v>1.1100000000000001</v>
      </c>
      <c r="F359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Master'!$F:$F,B359),"")</f>
        <v>0.08</v>
      </c>
      <c r="G359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Master'!$F:$F,B359),"")</f>
        <v>143</v>
      </c>
      <c r="H359">
        <f>IF(AND(ISNUMBER(C359),C359&gt;='Bulk Calculator'!U33/('Bulk Calculator'!J33*'Bulk Calculator'!L33)),1,0)</f>
        <v>1</v>
      </c>
      <c r="I359">
        <f>IFERROR(IF(AND(ISNUMBER(E359),ISNUMBER(F359),E359&gt;0,F359&gt;0),SQRT(3)*'Bulk Calculator'!O33*'Bulk Calculator'!AA33*((E359*'Bulk Calculator'!Q33)+(F359*SQRT(1-'Bulk Calculator'!Q33^2)))/'Bulk Calculator'!J33/'Bulk Calculator'!K33*100,D359*'Bulk Calculator'!AA33*'Bulk Calculator'!O33/'Bulk Calculator'!J33/'Bulk Calculator'!K33*100),"")</f>
        <v>0</v>
      </c>
      <c r="J359">
        <f>IFERROR(IF(AND(ISNUMBER(E359),ISNUMBER(F359),E359&gt;0,F359&gt;0),SQRT(3)*'Bulk Calculator'!O33*'Bulk Calculator'!U33*((E359*'Bulk Calculator'!M33)+(F359*SQRT(1-'Bulk Calculator'!M33^2)))/'Bulk Calculator'!J33/'Bulk Calculator'!K33*100,D359*'Bulk Calculator'!U33*'Bulk Calculator'!O33/'Bulk Calculator'!J33/'Bulk Calculator'!K33*100),"")</f>
        <v>0</v>
      </c>
      <c r="K359">
        <f>IFERROR(G359*B359*'Bulk Calculator'!J33/SQRT('Bulk Calculator'!S33)/1000,"")</f>
        <v>11.191520227386446</v>
      </c>
      <c r="L359">
        <f>IF(OR('Bulk Calculator'!R33="",'Bulk Calculator'!S33="",G359=""),0,IF(K359&gt;='Bulk Calculator'!R33,1,0))</f>
        <v>1</v>
      </c>
      <c r="M359">
        <f>IF(AND(H359=1,I359&lt;='OS-DORAEN'!$B$6,J359&lt;='OS-DORAEN'!$B$5,L359=1),1,0)</f>
        <v>1</v>
      </c>
      <c r="N359" t="str">
        <f t="shared" si="5"/>
        <v>R/X</v>
      </c>
    </row>
    <row r="360" spans="1:14" ht="15" customHeight="1" x14ac:dyDescent="0.35">
      <c r="A360">
        <v>33</v>
      </c>
      <c r="B360">
        <v>25</v>
      </c>
      <c r="C360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Master'!$F:$F,B360),"")</f>
        <v>96</v>
      </c>
      <c r="D360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Master'!$F:$F,B360),"")</f>
        <v>1.54</v>
      </c>
      <c r="E360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Master'!$F:$F,B360),"")</f>
        <v>1.54</v>
      </c>
      <c r="F360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Master'!$F:$F,B360),"")</f>
        <v>0.08</v>
      </c>
      <c r="G360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Master'!$F:$F,B360),"")</f>
        <v>143</v>
      </c>
      <c r="H360">
        <f>IF(AND(ISNUMBER(C360),C360&gt;='Bulk Calculator'!U33/('Bulk Calculator'!J33*'Bulk Calculator'!L33)),1,0)</f>
        <v>1</v>
      </c>
      <c r="I360">
        <f>IFERROR(IF(AND(ISNUMBER(E360),ISNUMBER(F360),E360&gt;0,F360&gt;0),SQRT(3)*'Bulk Calculator'!O33*'Bulk Calculator'!AA33*((E360*'Bulk Calculator'!Q33)+(F360*SQRT(1-'Bulk Calculator'!Q33^2)))/'Bulk Calculator'!J33/'Bulk Calculator'!K33*100,D360*'Bulk Calculator'!AA33*'Bulk Calculator'!O33/'Bulk Calculator'!J33/'Bulk Calculator'!K33*100),"")</f>
        <v>0</v>
      </c>
      <c r="J360">
        <f>IFERROR(IF(AND(ISNUMBER(E360),ISNUMBER(F360),E360&gt;0,F360&gt;0),SQRT(3)*'Bulk Calculator'!O33*'Bulk Calculator'!U33*((E360*'Bulk Calculator'!M33)+(F360*SQRT(1-'Bulk Calculator'!M33^2)))/'Bulk Calculator'!J33/'Bulk Calculator'!K33*100,D360*'Bulk Calculator'!U33*'Bulk Calculator'!O33/'Bulk Calculator'!J33/'Bulk Calculator'!K33*100),"")</f>
        <v>0</v>
      </c>
      <c r="K360">
        <f>IFERROR(G360*B360*'Bulk Calculator'!J33/SQRT('Bulk Calculator'!S33)/1000,"")</f>
        <v>7.9939430195617485</v>
      </c>
      <c r="L360">
        <f>IF(OR('Bulk Calculator'!R33="",'Bulk Calculator'!S33="",G360=""),0,IF(K360&gt;='Bulk Calculator'!R33,1,0))</f>
        <v>1</v>
      </c>
      <c r="M360">
        <f>IF(AND(H360=1,I360&lt;='OS-DORAEN'!$B$6,J360&lt;='OS-DORAEN'!$B$5,L360=1),1,0)</f>
        <v>1</v>
      </c>
      <c r="N360" t="str">
        <f t="shared" si="5"/>
        <v>R/X</v>
      </c>
    </row>
    <row r="361" spans="1:14" ht="15" customHeight="1" x14ac:dyDescent="0.35">
      <c r="A361">
        <v>33</v>
      </c>
      <c r="B361">
        <v>16</v>
      </c>
      <c r="C361">
        <f>IFERROR(SUMIFS('Cable Data Master'!$G:$G,'Cable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Master'!$F:$F,B361),"")</f>
        <v>0</v>
      </c>
      <c r="D361">
        <f>IFERROR(SUMIFS('Cable Data Master'!$K:$K,'Cable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Master'!$F:$F,B361),"")</f>
        <v>0</v>
      </c>
      <c r="E361">
        <f>IFERROR(SUMIFS('Cable Data Master'!$H:$H,'Cable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Master'!$F:$F,B361),"")</f>
        <v>0</v>
      </c>
      <c r="F361">
        <f>IFERROR(SUMIFS('Cable Data Master'!$I:$I,'Cable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Master'!$F:$F,B361),"")</f>
        <v>0</v>
      </c>
      <c r="G361">
        <f>IFERROR(SUMIFS('Cable Data Master'!$J:$J,'Cable Data Master'!$A:$A,'Bulk Calculator'!$BF33,'Cable Data Master'!$B:$B,'Bulk Calculator'!$BG33,'Cable Data Master'!$C:$C,'Bulk Calculator'!$BH33,'Cable Data Master'!$D:$D,'Bulk Calculator'!$BI33,'Cable Data Master'!$E:$E,'Bulk Calculator'!$BJ33,'Cable Data Master'!$F:$F,B361),"")</f>
        <v>0</v>
      </c>
      <c r="H361">
        <f>IF(AND(ISNUMBER(C361),C361&gt;='Bulk Calculator'!U33/('Bulk Calculator'!J33*'Bulk Calculator'!L33)),1,0)</f>
        <v>1</v>
      </c>
      <c r="I361">
        <f>IFERROR(IF(AND(ISNUMBER(E361),ISNUMBER(F361),E361&gt;0,F361&gt;0),SQRT(3)*'Bulk Calculator'!O33*'Bulk Calculator'!AA33*((E361*'Bulk Calculator'!Q33)+(F361*SQRT(1-'Bulk Calculator'!Q33^2)))/'Bulk Calculator'!J33/'Bulk Calculator'!K33*100,D361*'Bulk Calculator'!AA33*'Bulk Calculator'!O33/'Bulk Calculator'!J33/'Bulk Calculator'!K33*100),"")</f>
        <v>0</v>
      </c>
      <c r="J361">
        <f>IFERROR(IF(AND(ISNUMBER(E361),ISNUMBER(F361),E361&gt;0,F361&gt;0),SQRT(3)*'Bulk Calculator'!O33*'Bulk Calculator'!U33*((E361*'Bulk Calculator'!M33)+(F361*SQRT(1-'Bulk Calculator'!M33^2)))/'Bulk Calculator'!J33/'Bulk Calculator'!K33*100,D361*'Bulk Calculator'!U33*'Bulk Calculator'!O33/'Bulk Calculator'!J33/'Bulk Calculator'!K33*100),"")</f>
        <v>0</v>
      </c>
      <c r="K361">
        <f>IFERROR(G361*B361*'Bulk Calculator'!J33/SQRT('Bulk Calculator'!S33)/1000,"")</f>
        <v>0</v>
      </c>
      <c r="L361">
        <f>IF(OR('Bulk Calculator'!R33="",'Bulk Calculator'!S33="",G361=""),0,IF(K361&gt;='Bulk Calculator'!R33,1,0))</f>
        <v>1</v>
      </c>
      <c r="M361">
        <f>IF(AND(H361=1,I361&lt;='OS-DORAEN'!$B$6,J361&lt;='OS-DORAEN'!$B$5,L361=1),1,0)</f>
        <v>1</v>
      </c>
      <c r="N361" t="str">
        <f t="shared" si="5"/>
        <v>Manufacturer VD Ref</v>
      </c>
    </row>
    <row r="362" spans="1:14" ht="15" customHeight="1" x14ac:dyDescent="0.35">
      <c r="A362">
        <v>34</v>
      </c>
      <c r="B362">
        <v>400</v>
      </c>
      <c r="C362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Master'!$F:$F,B362),"")</f>
        <v>530</v>
      </c>
      <c r="D362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Master'!$F:$F,B362),"")</f>
        <v>0.1023</v>
      </c>
      <c r="E362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Master'!$F:$F,B362),"")</f>
        <v>0.1023</v>
      </c>
      <c r="F362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Master'!$F:$F,B362),"")</f>
        <v>7.0000000000000007E-2</v>
      </c>
      <c r="G362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Master'!$F:$F,B362),"")</f>
        <v>143</v>
      </c>
      <c r="H362">
        <f>IF(AND(ISNUMBER(C362),C362&gt;='Bulk Calculator'!U34/('Bulk Calculator'!J34*'Bulk Calculator'!L34)),1,0)</f>
        <v>1</v>
      </c>
      <c r="I362">
        <f>IFERROR(IF(AND(ISNUMBER(E362),ISNUMBER(F362),E362&gt;0,F362&gt;0),SQRT(3)*'Bulk Calculator'!O34*'Bulk Calculator'!AA34*((E362*'Bulk Calculator'!Q34)+(F362*SQRT(1-'Bulk Calculator'!Q34^2)))/'Bulk Calculator'!J34/'Bulk Calculator'!K34*100,D362*'Bulk Calculator'!AA34*'Bulk Calculator'!O34/'Bulk Calculator'!J34/'Bulk Calculator'!K34*100),"")</f>
        <v>0</v>
      </c>
      <c r="J362">
        <f>IFERROR(IF(AND(ISNUMBER(E362),ISNUMBER(F362),E362&gt;0,F362&gt;0),SQRT(3)*'Bulk Calculator'!O34*'Bulk Calculator'!U34*((E362*'Bulk Calculator'!M34)+(F362*SQRT(1-'Bulk Calculator'!M34^2)))/'Bulk Calculator'!J34/'Bulk Calculator'!K34*100,D362*'Bulk Calculator'!U34*'Bulk Calculator'!O34/'Bulk Calculator'!J34/'Bulk Calculator'!K34*100),"")</f>
        <v>0</v>
      </c>
      <c r="K362">
        <f>IFERROR(G362*B362*'Bulk Calculator'!J34/SQRT('Bulk Calculator'!S34)/1000,"")</f>
        <v>127.90308831298798</v>
      </c>
      <c r="L362">
        <f>IF(OR('Bulk Calculator'!R34="",'Bulk Calculator'!S34="",G362=""),0,IF(K362&gt;='Bulk Calculator'!R34,1,0))</f>
        <v>1</v>
      </c>
      <c r="M362">
        <f>IF(AND(H362=1,I362&lt;='OS-DORAEN'!$B$6,J362&lt;='OS-DORAEN'!$B$5,L362=1),1,0)</f>
        <v>1</v>
      </c>
      <c r="N362" t="str">
        <f t="shared" si="5"/>
        <v>R/X</v>
      </c>
    </row>
    <row r="363" spans="1:14" ht="15" customHeight="1" x14ac:dyDescent="0.35">
      <c r="A363">
        <v>34</v>
      </c>
      <c r="B363">
        <v>300</v>
      </c>
      <c r="C363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Master'!$F:$F,B363),"")</f>
        <v>455</v>
      </c>
      <c r="D363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Master'!$F:$F,B363),"")</f>
        <v>0.13</v>
      </c>
      <c r="E363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Master'!$F:$F,B363),"")</f>
        <v>0.13</v>
      </c>
      <c r="F363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Master'!$F:$F,B363),"")</f>
        <v>7.0999999999999994E-2</v>
      </c>
      <c r="G363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Master'!$F:$F,B363),"")</f>
        <v>143</v>
      </c>
      <c r="H363">
        <f>IF(AND(ISNUMBER(C363),C363&gt;='Bulk Calculator'!U34/('Bulk Calculator'!J34*'Bulk Calculator'!L34)),1,0)</f>
        <v>1</v>
      </c>
      <c r="I363">
        <f>IFERROR(IF(AND(ISNUMBER(E363),ISNUMBER(F363),E363&gt;0,F363&gt;0),SQRT(3)*'Bulk Calculator'!O34*'Bulk Calculator'!AA34*((E363*'Bulk Calculator'!Q34)+(F363*SQRT(1-'Bulk Calculator'!Q34^2)))/'Bulk Calculator'!J34/'Bulk Calculator'!K34*100,D363*'Bulk Calculator'!AA34*'Bulk Calculator'!O34/'Bulk Calculator'!J34/'Bulk Calculator'!K34*100),"")</f>
        <v>0</v>
      </c>
      <c r="J363">
        <f>IFERROR(IF(AND(ISNUMBER(E363),ISNUMBER(F363),E363&gt;0,F363&gt;0),SQRT(3)*'Bulk Calculator'!O34*'Bulk Calculator'!U34*((E363*'Bulk Calculator'!M34)+(F363*SQRT(1-'Bulk Calculator'!M34^2)))/'Bulk Calculator'!J34/'Bulk Calculator'!K34*100,D363*'Bulk Calculator'!U34*'Bulk Calculator'!O34/'Bulk Calculator'!J34/'Bulk Calculator'!K34*100),"")</f>
        <v>0</v>
      </c>
      <c r="K363">
        <f>IFERROR(G363*B363*'Bulk Calculator'!J34/SQRT('Bulk Calculator'!S34)/1000,"")</f>
        <v>95.927316234740985</v>
      </c>
      <c r="L363">
        <f>IF(OR('Bulk Calculator'!R34="",'Bulk Calculator'!S34="",G363=""),0,IF(K363&gt;='Bulk Calculator'!R34,1,0))</f>
        <v>1</v>
      </c>
      <c r="M363">
        <f>IF(AND(H363=1,I363&lt;='OS-DORAEN'!$B$6,J363&lt;='OS-DORAEN'!$B$5,L363=1),1,0)</f>
        <v>1</v>
      </c>
      <c r="N363" t="str">
        <f t="shared" si="5"/>
        <v>R/X</v>
      </c>
    </row>
    <row r="364" spans="1:14" ht="15" customHeight="1" x14ac:dyDescent="0.35">
      <c r="A364">
        <v>34</v>
      </c>
      <c r="B364">
        <v>240</v>
      </c>
      <c r="C364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Master'!$F:$F,B364),"")</f>
        <v>399</v>
      </c>
      <c r="D364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Master'!$F:$F,B364),"")</f>
        <v>0.16200000000000001</v>
      </c>
      <c r="E364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Master'!$F:$F,B364),"")</f>
        <v>0.16200000000000001</v>
      </c>
      <c r="F364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Master'!$F:$F,B364),"")</f>
        <v>7.1999999999999995E-2</v>
      </c>
      <c r="G364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Master'!$F:$F,B364),"")</f>
        <v>143</v>
      </c>
      <c r="H364">
        <f>IF(AND(ISNUMBER(C364),C364&gt;='Bulk Calculator'!U34/('Bulk Calculator'!J34*'Bulk Calculator'!L34)),1,0)</f>
        <v>1</v>
      </c>
      <c r="I364">
        <f>IFERROR(IF(AND(ISNUMBER(E364),ISNUMBER(F364),E364&gt;0,F364&gt;0),SQRT(3)*'Bulk Calculator'!O34*'Bulk Calculator'!AA34*((E364*'Bulk Calculator'!Q34)+(F364*SQRT(1-'Bulk Calculator'!Q34^2)))/'Bulk Calculator'!J34/'Bulk Calculator'!K34*100,D364*'Bulk Calculator'!AA34*'Bulk Calculator'!O34/'Bulk Calculator'!J34/'Bulk Calculator'!K34*100),"")</f>
        <v>0</v>
      </c>
      <c r="J364">
        <f>IFERROR(IF(AND(ISNUMBER(E364),ISNUMBER(F364),E364&gt;0,F364&gt;0),SQRT(3)*'Bulk Calculator'!O34*'Bulk Calculator'!U34*((E364*'Bulk Calculator'!M34)+(F364*SQRT(1-'Bulk Calculator'!M34^2)))/'Bulk Calculator'!J34/'Bulk Calculator'!K34*100,D364*'Bulk Calculator'!U34*'Bulk Calculator'!O34/'Bulk Calculator'!J34/'Bulk Calculator'!K34*100),"")</f>
        <v>0</v>
      </c>
      <c r="K364">
        <f>IFERROR(G364*B364*'Bulk Calculator'!J34/SQRT('Bulk Calculator'!S34)/1000,"")</f>
        <v>76.741852987792782</v>
      </c>
      <c r="L364">
        <f>IF(OR('Bulk Calculator'!R34="",'Bulk Calculator'!S34="",G364=""),0,IF(K364&gt;='Bulk Calculator'!R34,1,0))</f>
        <v>1</v>
      </c>
      <c r="M364">
        <f>IF(AND(H364=1,I364&lt;='OS-DORAEN'!$B$6,J364&lt;='OS-DORAEN'!$B$5,L364=1),1,0)</f>
        <v>1</v>
      </c>
      <c r="N364" t="str">
        <f t="shared" si="5"/>
        <v>R/X</v>
      </c>
    </row>
    <row r="365" spans="1:14" ht="15" customHeight="1" x14ac:dyDescent="0.35">
      <c r="A365">
        <v>34</v>
      </c>
      <c r="B365">
        <v>185</v>
      </c>
      <c r="C365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Master'!$F:$F,B365),"")</f>
        <v>337</v>
      </c>
      <c r="D365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Master'!$F:$F,B365),"")</f>
        <v>0.21099999999999999</v>
      </c>
      <c r="E365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Master'!$F:$F,B365),"")</f>
        <v>0.21099999999999999</v>
      </c>
      <c r="F365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Master'!$F:$F,B365),"")</f>
        <v>7.1999999999999995E-2</v>
      </c>
      <c r="G365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Master'!$F:$F,B365),"")</f>
        <v>143</v>
      </c>
      <c r="H365">
        <f>IF(AND(ISNUMBER(C365),C365&gt;='Bulk Calculator'!U34/('Bulk Calculator'!J34*'Bulk Calculator'!L34)),1,0)</f>
        <v>1</v>
      </c>
      <c r="I365">
        <f>IFERROR(IF(AND(ISNUMBER(E365),ISNUMBER(F365),E365&gt;0,F365&gt;0),SQRT(3)*'Bulk Calculator'!O34*'Bulk Calculator'!AA34*((E365*'Bulk Calculator'!Q34)+(F365*SQRT(1-'Bulk Calculator'!Q34^2)))/'Bulk Calculator'!J34/'Bulk Calculator'!K34*100,D365*'Bulk Calculator'!AA34*'Bulk Calculator'!O34/'Bulk Calculator'!J34/'Bulk Calculator'!K34*100),"")</f>
        <v>0</v>
      </c>
      <c r="J365">
        <f>IFERROR(IF(AND(ISNUMBER(E365),ISNUMBER(F365),E365&gt;0,F365&gt;0),SQRT(3)*'Bulk Calculator'!O34*'Bulk Calculator'!U34*((E365*'Bulk Calculator'!M34)+(F365*SQRT(1-'Bulk Calculator'!M34^2)))/'Bulk Calculator'!J34/'Bulk Calculator'!K34*100,D365*'Bulk Calculator'!U34*'Bulk Calculator'!O34/'Bulk Calculator'!J34/'Bulk Calculator'!K34*100),"")</f>
        <v>0</v>
      </c>
      <c r="K365">
        <f>IFERROR(G365*B365*'Bulk Calculator'!J34/SQRT('Bulk Calculator'!S34)/1000,"")</f>
        <v>59.155178344756941</v>
      </c>
      <c r="L365">
        <f>IF(OR('Bulk Calculator'!R34="",'Bulk Calculator'!S34="",G365=""),0,IF(K365&gt;='Bulk Calculator'!R34,1,0))</f>
        <v>1</v>
      </c>
      <c r="M365">
        <f>IF(AND(H365=1,I365&lt;='OS-DORAEN'!$B$6,J365&lt;='OS-DORAEN'!$B$5,L365=1),1,0)</f>
        <v>1</v>
      </c>
      <c r="N365" t="str">
        <f t="shared" si="5"/>
        <v>R/X</v>
      </c>
    </row>
    <row r="366" spans="1:14" ht="15" customHeight="1" x14ac:dyDescent="0.35">
      <c r="A366">
        <v>34</v>
      </c>
      <c r="B366">
        <v>150</v>
      </c>
      <c r="C366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Master'!$F:$F,B366),"")</f>
        <v>292</v>
      </c>
      <c r="D366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Master'!$F:$F,B366),"")</f>
        <v>0.26500000000000001</v>
      </c>
      <c r="E366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Master'!$F:$F,B366),"")</f>
        <v>0.26500000000000001</v>
      </c>
      <c r="F366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Master'!$F:$F,B366),"")</f>
        <v>7.1999999999999995E-2</v>
      </c>
      <c r="G366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Master'!$F:$F,B366),"")</f>
        <v>143</v>
      </c>
      <c r="H366">
        <f>IF(AND(ISNUMBER(C366),C366&gt;='Bulk Calculator'!U34/('Bulk Calculator'!J34*'Bulk Calculator'!L34)),1,0)</f>
        <v>1</v>
      </c>
      <c r="I366">
        <f>IFERROR(IF(AND(ISNUMBER(E366),ISNUMBER(F366),E366&gt;0,F366&gt;0),SQRT(3)*'Bulk Calculator'!O34*'Bulk Calculator'!AA34*((E366*'Bulk Calculator'!Q34)+(F366*SQRT(1-'Bulk Calculator'!Q34^2)))/'Bulk Calculator'!J34/'Bulk Calculator'!K34*100,D366*'Bulk Calculator'!AA34*'Bulk Calculator'!O34/'Bulk Calculator'!J34/'Bulk Calculator'!K34*100),"")</f>
        <v>0</v>
      </c>
      <c r="J366">
        <f>IFERROR(IF(AND(ISNUMBER(E366),ISNUMBER(F366),E366&gt;0,F366&gt;0),SQRT(3)*'Bulk Calculator'!O34*'Bulk Calculator'!U34*((E366*'Bulk Calculator'!M34)+(F366*SQRT(1-'Bulk Calculator'!M34^2)))/'Bulk Calculator'!J34/'Bulk Calculator'!K34*100,D366*'Bulk Calculator'!U34*'Bulk Calculator'!O34/'Bulk Calculator'!J34/'Bulk Calculator'!K34*100),"")</f>
        <v>0</v>
      </c>
      <c r="K366">
        <f>IFERROR(G366*B366*'Bulk Calculator'!J34/SQRT('Bulk Calculator'!S34)/1000,"")</f>
        <v>47.963658117370493</v>
      </c>
      <c r="L366">
        <f>IF(OR('Bulk Calculator'!R34="",'Bulk Calculator'!S34="",G366=""),0,IF(K366&gt;='Bulk Calculator'!R34,1,0))</f>
        <v>1</v>
      </c>
      <c r="M366">
        <f>IF(AND(H366=1,I366&lt;='OS-DORAEN'!$B$6,J366&lt;='OS-DORAEN'!$B$5,L366=1),1,0)</f>
        <v>1</v>
      </c>
      <c r="N366" t="str">
        <f t="shared" si="5"/>
        <v>R/X</v>
      </c>
    </row>
    <row r="367" spans="1:14" ht="15" customHeight="1" x14ac:dyDescent="0.35">
      <c r="A367">
        <v>34</v>
      </c>
      <c r="B367">
        <v>120</v>
      </c>
      <c r="C367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Master'!$F:$F,B367),"")</f>
        <v>257</v>
      </c>
      <c r="D367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Master'!$F:$F,B367),"")</f>
        <v>0.32500000000000001</v>
      </c>
      <c r="E367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Master'!$F:$F,B367),"")</f>
        <v>0.32500000000000001</v>
      </c>
      <c r="F367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Master'!$F:$F,B367),"")</f>
        <v>7.1999999999999995E-2</v>
      </c>
      <c r="G367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Master'!$F:$F,B367),"")</f>
        <v>143</v>
      </c>
      <c r="H367">
        <f>IF(AND(ISNUMBER(C367),C367&gt;='Bulk Calculator'!U34/('Bulk Calculator'!J34*'Bulk Calculator'!L34)),1,0)</f>
        <v>1</v>
      </c>
      <c r="I367">
        <f>IFERROR(IF(AND(ISNUMBER(E367),ISNUMBER(F367),E367&gt;0,F367&gt;0),SQRT(3)*'Bulk Calculator'!O34*'Bulk Calculator'!AA34*((E367*'Bulk Calculator'!Q34)+(F367*SQRT(1-'Bulk Calculator'!Q34^2)))/'Bulk Calculator'!J34/'Bulk Calculator'!K34*100,D367*'Bulk Calculator'!AA34*'Bulk Calculator'!O34/'Bulk Calculator'!J34/'Bulk Calculator'!K34*100),"")</f>
        <v>0</v>
      </c>
      <c r="J367">
        <f>IFERROR(IF(AND(ISNUMBER(E367),ISNUMBER(F367),E367&gt;0,F367&gt;0),SQRT(3)*'Bulk Calculator'!O34*'Bulk Calculator'!U34*((E367*'Bulk Calculator'!M34)+(F367*SQRT(1-'Bulk Calculator'!M34^2)))/'Bulk Calculator'!J34/'Bulk Calculator'!K34*100,D367*'Bulk Calculator'!U34*'Bulk Calculator'!O34/'Bulk Calculator'!J34/'Bulk Calculator'!K34*100),"")</f>
        <v>0</v>
      </c>
      <c r="K367">
        <f>IFERROR(G367*B367*'Bulk Calculator'!J34/SQRT('Bulk Calculator'!S34)/1000,"")</f>
        <v>38.370926493896391</v>
      </c>
      <c r="L367">
        <f>IF(OR('Bulk Calculator'!R34="",'Bulk Calculator'!S34="",G367=""),0,IF(K367&gt;='Bulk Calculator'!R34,1,0))</f>
        <v>1</v>
      </c>
      <c r="M367">
        <f>IF(AND(H367=1,I367&lt;='OS-DORAEN'!$B$6,J367&lt;='OS-DORAEN'!$B$5,L367=1),1,0)</f>
        <v>1</v>
      </c>
      <c r="N367" t="str">
        <f t="shared" si="5"/>
        <v>R/X</v>
      </c>
    </row>
    <row r="368" spans="1:14" ht="15" customHeight="1" x14ac:dyDescent="0.35">
      <c r="A368">
        <v>34</v>
      </c>
      <c r="B368">
        <v>95</v>
      </c>
      <c r="C368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Master'!$F:$F,B368),"")</f>
        <v>221</v>
      </c>
      <c r="D368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Master'!$F:$F,B368),"")</f>
        <v>0.41</v>
      </c>
      <c r="E368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Master'!$F:$F,B368),"")</f>
        <v>0.41</v>
      </c>
      <c r="F368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Master'!$F:$F,B368),"")</f>
        <v>7.3999999999999996E-2</v>
      </c>
      <c r="G368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Master'!$F:$F,B368),"")</f>
        <v>143</v>
      </c>
      <c r="H368">
        <f>IF(AND(ISNUMBER(C368),C368&gt;='Bulk Calculator'!U34/('Bulk Calculator'!J34*'Bulk Calculator'!L34)),1,0)</f>
        <v>1</v>
      </c>
      <c r="I368">
        <f>IFERROR(IF(AND(ISNUMBER(E368),ISNUMBER(F368),E368&gt;0,F368&gt;0),SQRT(3)*'Bulk Calculator'!O34*'Bulk Calculator'!AA34*((E368*'Bulk Calculator'!Q34)+(F368*SQRT(1-'Bulk Calculator'!Q34^2)))/'Bulk Calculator'!J34/'Bulk Calculator'!K34*100,D368*'Bulk Calculator'!AA34*'Bulk Calculator'!O34/'Bulk Calculator'!J34/'Bulk Calculator'!K34*100),"")</f>
        <v>0</v>
      </c>
      <c r="J368">
        <f>IFERROR(IF(AND(ISNUMBER(E368),ISNUMBER(F368),E368&gt;0,F368&gt;0),SQRT(3)*'Bulk Calculator'!O34*'Bulk Calculator'!U34*((E368*'Bulk Calculator'!M34)+(F368*SQRT(1-'Bulk Calculator'!M34^2)))/'Bulk Calculator'!J34/'Bulk Calculator'!K34*100,D368*'Bulk Calculator'!U34*'Bulk Calculator'!O34/'Bulk Calculator'!J34/'Bulk Calculator'!K34*100),"")</f>
        <v>0</v>
      </c>
      <c r="K368">
        <f>IFERROR(G368*B368*'Bulk Calculator'!J34/SQRT('Bulk Calculator'!S34)/1000,"")</f>
        <v>30.376983474334644</v>
      </c>
      <c r="L368">
        <f>IF(OR('Bulk Calculator'!R34="",'Bulk Calculator'!S34="",G368=""),0,IF(K368&gt;='Bulk Calculator'!R34,1,0))</f>
        <v>1</v>
      </c>
      <c r="M368">
        <f>IF(AND(H368=1,I368&lt;='OS-DORAEN'!$B$6,J368&lt;='OS-DORAEN'!$B$5,L368=1),1,0)</f>
        <v>1</v>
      </c>
      <c r="N368" t="str">
        <f t="shared" si="5"/>
        <v>R/X</v>
      </c>
    </row>
    <row r="369" spans="1:14" ht="15" customHeight="1" x14ac:dyDescent="0.35">
      <c r="A369">
        <v>34</v>
      </c>
      <c r="B369">
        <v>70</v>
      </c>
      <c r="C369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Master'!$F:$F,B369),"")</f>
        <v>179</v>
      </c>
      <c r="D369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Master'!$F:$F,B369),"")</f>
        <v>0.56699999999999995</v>
      </c>
      <c r="E369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Master'!$F:$F,B369),"")</f>
        <v>0.56699999999999995</v>
      </c>
      <c r="F369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Master'!$F:$F,B369),"")</f>
        <v>7.6999999999999999E-2</v>
      </c>
      <c r="G369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Master'!$F:$F,B369),"")</f>
        <v>143</v>
      </c>
      <c r="H369">
        <f>IF(AND(ISNUMBER(C369),C369&gt;='Bulk Calculator'!U34/('Bulk Calculator'!J34*'Bulk Calculator'!L34)),1,0)</f>
        <v>1</v>
      </c>
      <c r="I369">
        <f>IFERROR(IF(AND(ISNUMBER(E369),ISNUMBER(F369),E369&gt;0,F369&gt;0),SQRT(3)*'Bulk Calculator'!O34*'Bulk Calculator'!AA34*((E369*'Bulk Calculator'!Q34)+(F369*SQRT(1-'Bulk Calculator'!Q34^2)))/'Bulk Calculator'!J34/'Bulk Calculator'!K34*100,D369*'Bulk Calculator'!AA34*'Bulk Calculator'!O34/'Bulk Calculator'!J34/'Bulk Calculator'!K34*100),"")</f>
        <v>0</v>
      </c>
      <c r="J369">
        <f>IFERROR(IF(AND(ISNUMBER(E369),ISNUMBER(F369),E369&gt;0,F369&gt;0),SQRT(3)*'Bulk Calculator'!O34*'Bulk Calculator'!U34*((E369*'Bulk Calculator'!M34)+(F369*SQRT(1-'Bulk Calculator'!M34^2)))/'Bulk Calculator'!J34/'Bulk Calculator'!K34*100,D369*'Bulk Calculator'!U34*'Bulk Calculator'!O34/'Bulk Calculator'!J34/'Bulk Calculator'!K34*100),"")</f>
        <v>0</v>
      </c>
      <c r="K369">
        <f>IFERROR(G369*B369*'Bulk Calculator'!J34/SQRT('Bulk Calculator'!S34)/1000,"")</f>
        <v>22.383040454772893</v>
      </c>
      <c r="L369">
        <f>IF(OR('Bulk Calculator'!R34="",'Bulk Calculator'!S34="",G369=""),0,IF(K369&gt;='Bulk Calculator'!R34,1,0))</f>
        <v>1</v>
      </c>
      <c r="M369">
        <f>IF(AND(H369=1,I369&lt;='OS-DORAEN'!$B$6,J369&lt;='OS-DORAEN'!$B$5,L369=1),1,0)</f>
        <v>1</v>
      </c>
      <c r="N369" t="str">
        <f t="shared" si="5"/>
        <v>R/X</v>
      </c>
    </row>
    <row r="370" spans="1:14" ht="15" customHeight="1" x14ac:dyDescent="0.35">
      <c r="A370">
        <v>34</v>
      </c>
      <c r="B370">
        <v>50</v>
      </c>
      <c r="C370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Master'!$F:$F,B370),"")</f>
        <v>142</v>
      </c>
      <c r="D370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Master'!$F:$F,B370),"")</f>
        <v>0.82</v>
      </c>
      <c r="E370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Master'!$F:$F,B370),"")</f>
        <v>0.82</v>
      </c>
      <c r="F370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Master'!$F:$F,B370),"")</f>
        <v>7.8E-2</v>
      </c>
      <c r="G370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Master'!$F:$F,B370),"")</f>
        <v>143</v>
      </c>
      <c r="H370">
        <f>IF(AND(ISNUMBER(C370),C370&gt;='Bulk Calculator'!U34/('Bulk Calculator'!J34*'Bulk Calculator'!L34)),1,0)</f>
        <v>1</v>
      </c>
      <c r="I370">
        <f>IFERROR(IF(AND(ISNUMBER(E370),ISNUMBER(F370),E370&gt;0,F370&gt;0),SQRT(3)*'Bulk Calculator'!O34*'Bulk Calculator'!AA34*((E370*'Bulk Calculator'!Q34)+(F370*SQRT(1-'Bulk Calculator'!Q34^2)))/'Bulk Calculator'!J34/'Bulk Calculator'!K34*100,D370*'Bulk Calculator'!AA34*'Bulk Calculator'!O34/'Bulk Calculator'!J34/'Bulk Calculator'!K34*100),"")</f>
        <v>0</v>
      </c>
      <c r="J370">
        <f>IFERROR(IF(AND(ISNUMBER(E370),ISNUMBER(F370),E370&gt;0,F370&gt;0),SQRT(3)*'Bulk Calculator'!O34*'Bulk Calculator'!U34*((E370*'Bulk Calculator'!M34)+(F370*SQRT(1-'Bulk Calculator'!M34^2)))/'Bulk Calculator'!J34/'Bulk Calculator'!K34*100,D370*'Bulk Calculator'!U34*'Bulk Calculator'!O34/'Bulk Calculator'!J34/'Bulk Calculator'!K34*100),"")</f>
        <v>0</v>
      </c>
      <c r="K370">
        <f>IFERROR(G370*B370*'Bulk Calculator'!J34/SQRT('Bulk Calculator'!S34)/1000,"")</f>
        <v>15.987886039123497</v>
      </c>
      <c r="L370">
        <f>IF(OR('Bulk Calculator'!R34="",'Bulk Calculator'!S34="",G370=""),0,IF(K370&gt;='Bulk Calculator'!R34,1,0))</f>
        <v>1</v>
      </c>
      <c r="M370">
        <f>IF(AND(H370=1,I370&lt;='OS-DORAEN'!$B$6,J370&lt;='OS-DORAEN'!$B$5,L370=1),1,0)</f>
        <v>1</v>
      </c>
      <c r="N370" t="str">
        <f t="shared" si="5"/>
        <v>R/X</v>
      </c>
    </row>
    <row r="371" spans="1:14" ht="15" customHeight="1" x14ac:dyDescent="0.35">
      <c r="A371">
        <v>34</v>
      </c>
      <c r="B371">
        <v>35</v>
      </c>
      <c r="C371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Master'!$F:$F,B371),"")</f>
        <v>117</v>
      </c>
      <c r="D371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Master'!$F:$F,B371),"")</f>
        <v>1.1100000000000001</v>
      </c>
      <c r="E371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Master'!$F:$F,B371),"")</f>
        <v>1.1100000000000001</v>
      </c>
      <c r="F371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Master'!$F:$F,B371),"")</f>
        <v>0.08</v>
      </c>
      <c r="G371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Master'!$F:$F,B371),"")</f>
        <v>143</v>
      </c>
      <c r="H371">
        <f>IF(AND(ISNUMBER(C371),C371&gt;='Bulk Calculator'!U34/('Bulk Calculator'!J34*'Bulk Calculator'!L34)),1,0)</f>
        <v>1</v>
      </c>
      <c r="I371">
        <f>IFERROR(IF(AND(ISNUMBER(E371),ISNUMBER(F371),E371&gt;0,F371&gt;0),SQRT(3)*'Bulk Calculator'!O34*'Bulk Calculator'!AA34*((E371*'Bulk Calculator'!Q34)+(F371*SQRT(1-'Bulk Calculator'!Q34^2)))/'Bulk Calculator'!J34/'Bulk Calculator'!K34*100,D371*'Bulk Calculator'!AA34*'Bulk Calculator'!O34/'Bulk Calculator'!J34/'Bulk Calculator'!K34*100),"")</f>
        <v>0</v>
      </c>
      <c r="J371">
        <f>IFERROR(IF(AND(ISNUMBER(E371),ISNUMBER(F371),E371&gt;0,F371&gt;0),SQRT(3)*'Bulk Calculator'!O34*'Bulk Calculator'!U34*((E371*'Bulk Calculator'!M34)+(F371*SQRT(1-'Bulk Calculator'!M34^2)))/'Bulk Calculator'!J34/'Bulk Calculator'!K34*100,D371*'Bulk Calculator'!U34*'Bulk Calculator'!O34/'Bulk Calculator'!J34/'Bulk Calculator'!K34*100),"")</f>
        <v>0</v>
      </c>
      <c r="K371">
        <f>IFERROR(G371*B371*'Bulk Calculator'!J34/SQRT('Bulk Calculator'!S34)/1000,"")</f>
        <v>11.191520227386446</v>
      </c>
      <c r="L371">
        <f>IF(OR('Bulk Calculator'!R34="",'Bulk Calculator'!S34="",G371=""),0,IF(K371&gt;='Bulk Calculator'!R34,1,0))</f>
        <v>1</v>
      </c>
      <c r="M371">
        <f>IF(AND(H371=1,I371&lt;='OS-DORAEN'!$B$6,J371&lt;='OS-DORAEN'!$B$5,L371=1),1,0)</f>
        <v>1</v>
      </c>
      <c r="N371" t="str">
        <f t="shared" si="5"/>
        <v>R/X</v>
      </c>
    </row>
    <row r="372" spans="1:14" ht="15" customHeight="1" x14ac:dyDescent="0.35">
      <c r="A372">
        <v>34</v>
      </c>
      <c r="B372">
        <v>25</v>
      </c>
      <c r="C372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Master'!$F:$F,B372),"")</f>
        <v>96</v>
      </c>
      <c r="D372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Master'!$F:$F,B372),"")</f>
        <v>1.54</v>
      </c>
      <c r="E372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Master'!$F:$F,B372),"")</f>
        <v>1.54</v>
      </c>
      <c r="F372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Master'!$F:$F,B372),"")</f>
        <v>0.08</v>
      </c>
      <c r="G372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Master'!$F:$F,B372),"")</f>
        <v>143</v>
      </c>
      <c r="H372">
        <f>IF(AND(ISNUMBER(C372),C372&gt;='Bulk Calculator'!U34/('Bulk Calculator'!J34*'Bulk Calculator'!L34)),1,0)</f>
        <v>1</v>
      </c>
      <c r="I372">
        <f>IFERROR(IF(AND(ISNUMBER(E372),ISNUMBER(F372),E372&gt;0,F372&gt;0),SQRT(3)*'Bulk Calculator'!O34*'Bulk Calculator'!AA34*((E372*'Bulk Calculator'!Q34)+(F372*SQRT(1-'Bulk Calculator'!Q34^2)))/'Bulk Calculator'!J34/'Bulk Calculator'!K34*100,D372*'Bulk Calculator'!AA34*'Bulk Calculator'!O34/'Bulk Calculator'!J34/'Bulk Calculator'!K34*100),"")</f>
        <v>0</v>
      </c>
      <c r="J372">
        <f>IFERROR(IF(AND(ISNUMBER(E372),ISNUMBER(F372),E372&gt;0,F372&gt;0),SQRT(3)*'Bulk Calculator'!O34*'Bulk Calculator'!U34*((E372*'Bulk Calculator'!M34)+(F372*SQRT(1-'Bulk Calculator'!M34^2)))/'Bulk Calculator'!J34/'Bulk Calculator'!K34*100,D372*'Bulk Calculator'!U34*'Bulk Calculator'!O34/'Bulk Calculator'!J34/'Bulk Calculator'!K34*100),"")</f>
        <v>0</v>
      </c>
      <c r="K372">
        <f>IFERROR(G372*B372*'Bulk Calculator'!J34/SQRT('Bulk Calculator'!S34)/1000,"")</f>
        <v>7.9939430195617485</v>
      </c>
      <c r="L372">
        <f>IF(OR('Bulk Calculator'!R34="",'Bulk Calculator'!S34="",G372=""),0,IF(K372&gt;='Bulk Calculator'!R34,1,0))</f>
        <v>1</v>
      </c>
      <c r="M372">
        <f>IF(AND(H372=1,I372&lt;='OS-DORAEN'!$B$6,J372&lt;='OS-DORAEN'!$B$5,L372=1),1,0)</f>
        <v>1</v>
      </c>
      <c r="N372" t="str">
        <f t="shared" si="5"/>
        <v>R/X</v>
      </c>
    </row>
    <row r="373" spans="1:14" ht="15" customHeight="1" x14ac:dyDescent="0.35">
      <c r="A373">
        <v>34</v>
      </c>
      <c r="B373">
        <v>16</v>
      </c>
      <c r="C373">
        <f>IFERROR(SUMIFS('Cable Data Master'!$G:$G,'Cable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Master'!$F:$F,B373),"")</f>
        <v>0</v>
      </c>
      <c r="D373">
        <f>IFERROR(SUMIFS('Cable Data Master'!$K:$K,'Cable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Master'!$F:$F,B373),"")</f>
        <v>0</v>
      </c>
      <c r="E373">
        <f>IFERROR(SUMIFS('Cable Data Master'!$H:$H,'Cable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Master'!$F:$F,B373),"")</f>
        <v>0</v>
      </c>
      <c r="F373">
        <f>IFERROR(SUMIFS('Cable Data Master'!$I:$I,'Cable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Master'!$F:$F,B373),"")</f>
        <v>0</v>
      </c>
      <c r="G373">
        <f>IFERROR(SUMIFS('Cable Data Master'!$J:$J,'Cable Data Master'!$A:$A,'Bulk Calculator'!$BF34,'Cable Data Master'!$B:$B,'Bulk Calculator'!$BG34,'Cable Data Master'!$C:$C,'Bulk Calculator'!$BH34,'Cable Data Master'!$D:$D,'Bulk Calculator'!$BI34,'Cable Data Master'!$E:$E,'Bulk Calculator'!$BJ34,'Cable Data Master'!$F:$F,B373),"")</f>
        <v>0</v>
      </c>
      <c r="H373">
        <f>IF(AND(ISNUMBER(C373),C373&gt;='Bulk Calculator'!U34/('Bulk Calculator'!J34*'Bulk Calculator'!L34)),1,0)</f>
        <v>1</v>
      </c>
      <c r="I373">
        <f>IFERROR(IF(AND(ISNUMBER(E373),ISNUMBER(F373),E373&gt;0,F373&gt;0),SQRT(3)*'Bulk Calculator'!O34*'Bulk Calculator'!AA34*((E373*'Bulk Calculator'!Q34)+(F373*SQRT(1-'Bulk Calculator'!Q34^2)))/'Bulk Calculator'!J34/'Bulk Calculator'!K34*100,D373*'Bulk Calculator'!AA34*'Bulk Calculator'!O34/'Bulk Calculator'!J34/'Bulk Calculator'!K34*100),"")</f>
        <v>0</v>
      </c>
      <c r="J373">
        <f>IFERROR(IF(AND(ISNUMBER(E373),ISNUMBER(F373),E373&gt;0,F373&gt;0),SQRT(3)*'Bulk Calculator'!O34*'Bulk Calculator'!U34*((E373*'Bulk Calculator'!M34)+(F373*SQRT(1-'Bulk Calculator'!M34^2)))/'Bulk Calculator'!J34/'Bulk Calculator'!K34*100,D373*'Bulk Calculator'!U34*'Bulk Calculator'!O34/'Bulk Calculator'!J34/'Bulk Calculator'!K34*100),"")</f>
        <v>0</v>
      </c>
      <c r="K373">
        <f>IFERROR(G373*B373*'Bulk Calculator'!J34/SQRT('Bulk Calculator'!S34)/1000,"")</f>
        <v>0</v>
      </c>
      <c r="L373">
        <f>IF(OR('Bulk Calculator'!R34="",'Bulk Calculator'!S34="",G373=""),0,IF(K373&gt;='Bulk Calculator'!R34,1,0))</f>
        <v>1</v>
      </c>
      <c r="M373">
        <f>IF(AND(H373=1,I373&lt;='OS-DORAEN'!$B$6,J373&lt;='OS-DORAEN'!$B$5,L373=1),1,0)</f>
        <v>1</v>
      </c>
      <c r="N373" t="str">
        <f t="shared" si="5"/>
        <v>Manufacturer VD Ref</v>
      </c>
    </row>
    <row r="374" spans="1:14" ht="15" customHeight="1" x14ac:dyDescent="0.35">
      <c r="A374">
        <v>35</v>
      </c>
      <c r="B374">
        <v>400</v>
      </c>
      <c r="C374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Master'!$F:$F,B374),"")</f>
        <v>530</v>
      </c>
      <c r="D374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Master'!$F:$F,B374),"")</f>
        <v>0.1023</v>
      </c>
      <c r="E374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Master'!$F:$F,B374),"")</f>
        <v>0.1023</v>
      </c>
      <c r="F374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Master'!$F:$F,B374),"")</f>
        <v>7.0000000000000007E-2</v>
      </c>
      <c r="G374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Master'!$F:$F,B374),"")</f>
        <v>143</v>
      </c>
      <c r="H374">
        <f>IF(AND(ISNUMBER(C374),C374&gt;='Bulk Calculator'!U35/('Bulk Calculator'!J35*'Bulk Calculator'!L35)),1,0)</f>
        <v>1</v>
      </c>
      <c r="I374">
        <f>IFERROR(IF(AND(ISNUMBER(E374),ISNUMBER(F374),E374&gt;0,F374&gt;0),SQRT(3)*'Bulk Calculator'!O35*'Bulk Calculator'!AA35*((E374*'Bulk Calculator'!Q35)+(F374*SQRT(1-'Bulk Calculator'!Q35^2)))/'Bulk Calculator'!J35/'Bulk Calculator'!K35*100,D374*'Bulk Calculator'!AA35*'Bulk Calculator'!O35/'Bulk Calculator'!J35/'Bulk Calculator'!K35*100),"")</f>
        <v>0</v>
      </c>
      <c r="J374">
        <f>IFERROR(IF(AND(ISNUMBER(E374),ISNUMBER(F374),E374&gt;0,F374&gt;0),SQRT(3)*'Bulk Calculator'!O35*'Bulk Calculator'!U35*((E374*'Bulk Calculator'!M35)+(F374*SQRT(1-'Bulk Calculator'!M35^2)))/'Bulk Calculator'!J35/'Bulk Calculator'!K35*100,D374*'Bulk Calculator'!U35*'Bulk Calculator'!O35/'Bulk Calculator'!J35/'Bulk Calculator'!K35*100),"")</f>
        <v>0</v>
      </c>
      <c r="K374">
        <f>IFERROR(G374*B374*'Bulk Calculator'!J35/SQRT('Bulk Calculator'!S35)/1000,"")</f>
        <v>127.90308831298798</v>
      </c>
      <c r="L374">
        <f>IF(OR('Bulk Calculator'!R35="",'Bulk Calculator'!S35="",G374=""),0,IF(K374&gt;='Bulk Calculator'!R35,1,0))</f>
        <v>1</v>
      </c>
      <c r="M374">
        <f>IF(AND(H374=1,I374&lt;='OS-DORAEN'!$B$6,J374&lt;='OS-DORAEN'!$B$5,L374=1),1,0)</f>
        <v>1</v>
      </c>
      <c r="N374" t="str">
        <f t="shared" si="5"/>
        <v>R/X</v>
      </c>
    </row>
    <row r="375" spans="1:14" ht="15" customHeight="1" x14ac:dyDescent="0.35">
      <c r="A375">
        <v>35</v>
      </c>
      <c r="B375">
        <v>300</v>
      </c>
      <c r="C375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Master'!$F:$F,B375),"")</f>
        <v>455</v>
      </c>
      <c r="D375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Master'!$F:$F,B375),"")</f>
        <v>0.13</v>
      </c>
      <c r="E375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Master'!$F:$F,B375),"")</f>
        <v>0.13</v>
      </c>
      <c r="F375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Master'!$F:$F,B375),"")</f>
        <v>7.0999999999999994E-2</v>
      </c>
      <c r="G375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Master'!$F:$F,B375),"")</f>
        <v>143</v>
      </c>
      <c r="H375">
        <f>IF(AND(ISNUMBER(C375),C375&gt;='Bulk Calculator'!U35/('Bulk Calculator'!J35*'Bulk Calculator'!L35)),1,0)</f>
        <v>1</v>
      </c>
      <c r="I375">
        <f>IFERROR(IF(AND(ISNUMBER(E375),ISNUMBER(F375),E375&gt;0,F375&gt;0),SQRT(3)*'Bulk Calculator'!O35*'Bulk Calculator'!AA35*((E375*'Bulk Calculator'!Q35)+(F375*SQRT(1-'Bulk Calculator'!Q35^2)))/'Bulk Calculator'!J35/'Bulk Calculator'!K35*100,D375*'Bulk Calculator'!AA35*'Bulk Calculator'!O35/'Bulk Calculator'!J35/'Bulk Calculator'!K35*100),"")</f>
        <v>0</v>
      </c>
      <c r="J375">
        <f>IFERROR(IF(AND(ISNUMBER(E375),ISNUMBER(F375),E375&gt;0,F375&gt;0),SQRT(3)*'Bulk Calculator'!O35*'Bulk Calculator'!U35*((E375*'Bulk Calculator'!M35)+(F375*SQRT(1-'Bulk Calculator'!M35^2)))/'Bulk Calculator'!J35/'Bulk Calculator'!K35*100,D375*'Bulk Calculator'!U35*'Bulk Calculator'!O35/'Bulk Calculator'!J35/'Bulk Calculator'!K35*100),"")</f>
        <v>0</v>
      </c>
      <c r="K375">
        <f>IFERROR(G375*B375*'Bulk Calculator'!J35/SQRT('Bulk Calculator'!S35)/1000,"")</f>
        <v>95.927316234740985</v>
      </c>
      <c r="L375">
        <f>IF(OR('Bulk Calculator'!R35="",'Bulk Calculator'!S35="",G375=""),0,IF(K375&gt;='Bulk Calculator'!R35,1,0))</f>
        <v>1</v>
      </c>
      <c r="M375">
        <f>IF(AND(H375=1,I375&lt;='OS-DORAEN'!$B$6,J375&lt;='OS-DORAEN'!$B$5,L375=1),1,0)</f>
        <v>1</v>
      </c>
      <c r="N375" t="str">
        <f t="shared" si="5"/>
        <v>R/X</v>
      </c>
    </row>
    <row r="376" spans="1:14" ht="15" customHeight="1" x14ac:dyDescent="0.35">
      <c r="A376">
        <v>35</v>
      </c>
      <c r="B376">
        <v>240</v>
      </c>
      <c r="C376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Master'!$F:$F,B376),"")</f>
        <v>399</v>
      </c>
      <c r="D376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Master'!$F:$F,B376),"")</f>
        <v>0.16200000000000001</v>
      </c>
      <c r="E376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Master'!$F:$F,B376),"")</f>
        <v>0.16200000000000001</v>
      </c>
      <c r="F376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Master'!$F:$F,B376),"")</f>
        <v>7.1999999999999995E-2</v>
      </c>
      <c r="G376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Master'!$F:$F,B376),"")</f>
        <v>143</v>
      </c>
      <c r="H376">
        <f>IF(AND(ISNUMBER(C376),C376&gt;='Bulk Calculator'!U35/('Bulk Calculator'!J35*'Bulk Calculator'!L35)),1,0)</f>
        <v>1</v>
      </c>
      <c r="I376">
        <f>IFERROR(IF(AND(ISNUMBER(E376),ISNUMBER(F376),E376&gt;0,F376&gt;0),SQRT(3)*'Bulk Calculator'!O35*'Bulk Calculator'!AA35*((E376*'Bulk Calculator'!Q35)+(F376*SQRT(1-'Bulk Calculator'!Q35^2)))/'Bulk Calculator'!J35/'Bulk Calculator'!K35*100,D376*'Bulk Calculator'!AA35*'Bulk Calculator'!O35/'Bulk Calculator'!J35/'Bulk Calculator'!K35*100),"")</f>
        <v>0</v>
      </c>
      <c r="J376">
        <f>IFERROR(IF(AND(ISNUMBER(E376),ISNUMBER(F376),E376&gt;0,F376&gt;0),SQRT(3)*'Bulk Calculator'!O35*'Bulk Calculator'!U35*((E376*'Bulk Calculator'!M35)+(F376*SQRT(1-'Bulk Calculator'!M35^2)))/'Bulk Calculator'!J35/'Bulk Calculator'!K35*100,D376*'Bulk Calculator'!U35*'Bulk Calculator'!O35/'Bulk Calculator'!J35/'Bulk Calculator'!K35*100),"")</f>
        <v>0</v>
      </c>
      <c r="K376">
        <f>IFERROR(G376*B376*'Bulk Calculator'!J35/SQRT('Bulk Calculator'!S35)/1000,"")</f>
        <v>76.741852987792782</v>
      </c>
      <c r="L376">
        <f>IF(OR('Bulk Calculator'!R35="",'Bulk Calculator'!S35="",G376=""),0,IF(K376&gt;='Bulk Calculator'!R35,1,0))</f>
        <v>1</v>
      </c>
      <c r="M376">
        <f>IF(AND(H376=1,I376&lt;='OS-DORAEN'!$B$6,J376&lt;='OS-DORAEN'!$B$5,L376=1),1,0)</f>
        <v>1</v>
      </c>
      <c r="N376" t="str">
        <f t="shared" si="5"/>
        <v>R/X</v>
      </c>
    </row>
    <row r="377" spans="1:14" ht="15" customHeight="1" x14ac:dyDescent="0.35">
      <c r="A377">
        <v>35</v>
      </c>
      <c r="B377">
        <v>185</v>
      </c>
      <c r="C377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Master'!$F:$F,B377),"")</f>
        <v>337</v>
      </c>
      <c r="D377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Master'!$F:$F,B377),"")</f>
        <v>0.21099999999999999</v>
      </c>
      <c r="E377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Master'!$F:$F,B377),"")</f>
        <v>0.21099999999999999</v>
      </c>
      <c r="F377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Master'!$F:$F,B377),"")</f>
        <v>7.1999999999999995E-2</v>
      </c>
      <c r="G377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Master'!$F:$F,B377),"")</f>
        <v>143</v>
      </c>
      <c r="H377">
        <f>IF(AND(ISNUMBER(C377),C377&gt;='Bulk Calculator'!U35/('Bulk Calculator'!J35*'Bulk Calculator'!L35)),1,0)</f>
        <v>1</v>
      </c>
      <c r="I377">
        <f>IFERROR(IF(AND(ISNUMBER(E377),ISNUMBER(F377),E377&gt;0,F377&gt;0),SQRT(3)*'Bulk Calculator'!O35*'Bulk Calculator'!AA35*((E377*'Bulk Calculator'!Q35)+(F377*SQRT(1-'Bulk Calculator'!Q35^2)))/'Bulk Calculator'!J35/'Bulk Calculator'!K35*100,D377*'Bulk Calculator'!AA35*'Bulk Calculator'!O35/'Bulk Calculator'!J35/'Bulk Calculator'!K35*100),"")</f>
        <v>0</v>
      </c>
      <c r="J377">
        <f>IFERROR(IF(AND(ISNUMBER(E377),ISNUMBER(F377),E377&gt;0,F377&gt;0),SQRT(3)*'Bulk Calculator'!O35*'Bulk Calculator'!U35*((E377*'Bulk Calculator'!M35)+(F377*SQRT(1-'Bulk Calculator'!M35^2)))/'Bulk Calculator'!J35/'Bulk Calculator'!K35*100,D377*'Bulk Calculator'!U35*'Bulk Calculator'!O35/'Bulk Calculator'!J35/'Bulk Calculator'!K35*100),"")</f>
        <v>0</v>
      </c>
      <c r="K377">
        <f>IFERROR(G377*B377*'Bulk Calculator'!J35/SQRT('Bulk Calculator'!S35)/1000,"")</f>
        <v>59.155178344756941</v>
      </c>
      <c r="L377">
        <f>IF(OR('Bulk Calculator'!R35="",'Bulk Calculator'!S35="",G377=""),0,IF(K377&gt;='Bulk Calculator'!R35,1,0))</f>
        <v>1</v>
      </c>
      <c r="M377">
        <f>IF(AND(H377=1,I377&lt;='OS-DORAEN'!$B$6,J377&lt;='OS-DORAEN'!$B$5,L377=1),1,0)</f>
        <v>1</v>
      </c>
      <c r="N377" t="str">
        <f t="shared" si="5"/>
        <v>R/X</v>
      </c>
    </row>
    <row r="378" spans="1:14" ht="15" customHeight="1" x14ac:dyDescent="0.35">
      <c r="A378">
        <v>35</v>
      </c>
      <c r="B378">
        <v>150</v>
      </c>
      <c r="C378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Master'!$F:$F,B378),"")</f>
        <v>292</v>
      </c>
      <c r="D378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Master'!$F:$F,B378),"")</f>
        <v>0.26500000000000001</v>
      </c>
      <c r="E378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Master'!$F:$F,B378),"")</f>
        <v>0.26500000000000001</v>
      </c>
      <c r="F378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Master'!$F:$F,B378),"")</f>
        <v>7.1999999999999995E-2</v>
      </c>
      <c r="G378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Master'!$F:$F,B378),"")</f>
        <v>143</v>
      </c>
      <c r="H378">
        <f>IF(AND(ISNUMBER(C378),C378&gt;='Bulk Calculator'!U35/('Bulk Calculator'!J35*'Bulk Calculator'!L35)),1,0)</f>
        <v>1</v>
      </c>
      <c r="I378">
        <f>IFERROR(IF(AND(ISNUMBER(E378),ISNUMBER(F378),E378&gt;0,F378&gt;0),SQRT(3)*'Bulk Calculator'!O35*'Bulk Calculator'!AA35*((E378*'Bulk Calculator'!Q35)+(F378*SQRT(1-'Bulk Calculator'!Q35^2)))/'Bulk Calculator'!J35/'Bulk Calculator'!K35*100,D378*'Bulk Calculator'!AA35*'Bulk Calculator'!O35/'Bulk Calculator'!J35/'Bulk Calculator'!K35*100),"")</f>
        <v>0</v>
      </c>
      <c r="J378">
        <f>IFERROR(IF(AND(ISNUMBER(E378),ISNUMBER(F378),E378&gt;0,F378&gt;0),SQRT(3)*'Bulk Calculator'!O35*'Bulk Calculator'!U35*((E378*'Bulk Calculator'!M35)+(F378*SQRT(1-'Bulk Calculator'!M35^2)))/'Bulk Calculator'!J35/'Bulk Calculator'!K35*100,D378*'Bulk Calculator'!U35*'Bulk Calculator'!O35/'Bulk Calculator'!J35/'Bulk Calculator'!K35*100),"")</f>
        <v>0</v>
      </c>
      <c r="K378">
        <f>IFERROR(G378*B378*'Bulk Calculator'!J35/SQRT('Bulk Calculator'!S35)/1000,"")</f>
        <v>47.963658117370493</v>
      </c>
      <c r="L378">
        <f>IF(OR('Bulk Calculator'!R35="",'Bulk Calculator'!S35="",G378=""),0,IF(K378&gt;='Bulk Calculator'!R35,1,0))</f>
        <v>1</v>
      </c>
      <c r="M378">
        <f>IF(AND(H378=1,I378&lt;='OS-DORAEN'!$B$6,J378&lt;='OS-DORAEN'!$B$5,L378=1),1,0)</f>
        <v>1</v>
      </c>
      <c r="N378" t="str">
        <f t="shared" si="5"/>
        <v>R/X</v>
      </c>
    </row>
    <row r="379" spans="1:14" ht="15" customHeight="1" x14ac:dyDescent="0.35">
      <c r="A379">
        <v>35</v>
      </c>
      <c r="B379">
        <v>120</v>
      </c>
      <c r="C379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Master'!$F:$F,B379),"")</f>
        <v>257</v>
      </c>
      <c r="D379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Master'!$F:$F,B379),"")</f>
        <v>0.32500000000000001</v>
      </c>
      <c r="E379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Master'!$F:$F,B379),"")</f>
        <v>0.32500000000000001</v>
      </c>
      <c r="F379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Master'!$F:$F,B379),"")</f>
        <v>7.1999999999999995E-2</v>
      </c>
      <c r="G379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Master'!$F:$F,B379),"")</f>
        <v>143</v>
      </c>
      <c r="H379">
        <f>IF(AND(ISNUMBER(C379),C379&gt;='Bulk Calculator'!U35/('Bulk Calculator'!J35*'Bulk Calculator'!L35)),1,0)</f>
        <v>1</v>
      </c>
      <c r="I379">
        <f>IFERROR(IF(AND(ISNUMBER(E379),ISNUMBER(F379),E379&gt;0,F379&gt;0),SQRT(3)*'Bulk Calculator'!O35*'Bulk Calculator'!AA35*((E379*'Bulk Calculator'!Q35)+(F379*SQRT(1-'Bulk Calculator'!Q35^2)))/'Bulk Calculator'!J35/'Bulk Calculator'!K35*100,D379*'Bulk Calculator'!AA35*'Bulk Calculator'!O35/'Bulk Calculator'!J35/'Bulk Calculator'!K35*100),"")</f>
        <v>0</v>
      </c>
      <c r="J379">
        <f>IFERROR(IF(AND(ISNUMBER(E379),ISNUMBER(F379),E379&gt;0,F379&gt;0),SQRT(3)*'Bulk Calculator'!O35*'Bulk Calculator'!U35*((E379*'Bulk Calculator'!M35)+(F379*SQRT(1-'Bulk Calculator'!M35^2)))/'Bulk Calculator'!J35/'Bulk Calculator'!K35*100,D379*'Bulk Calculator'!U35*'Bulk Calculator'!O35/'Bulk Calculator'!J35/'Bulk Calculator'!K35*100),"")</f>
        <v>0</v>
      </c>
      <c r="K379">
        <f>IFERROR(G379*B379*'Bulk Calculator'!J35/SQRT('Bulk Calculator'!S35)/1000,"")</f>
        <v>38.370926493896391</v>
      </c>
      <c r="L379">
        <f>IF(OR('Bulk Calculator'!R35="",'Bulk Calculator'!S35="",G379=""),0,IF(K379&gt;='Bulk Calculator'!R35,1,0))</f>
        <v>1</v>
      </c>
      <c r="M379">
        <f>IF(AND(H379=1,I379&lt;='OS-DORAEN'!$B$6,J379&lt;='OS-DORAEN'!$B$5,L379=1),1,0)</f>
        <v>1</v>
      </c>
      <c r="N379" t="str">
        <f t="shared" si="5"/>
        <v>R/X</v>
      </c>
    </row>
    <row r="380" spans="1:14" ht="15" customHeight="1" x14ac:dyDescent="0.35">
      <c r="A380">
        <v>35</v>
      </c>
      <c r="B380">
        <v>95</v>
      </c>
      <c r="C380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Master'!$F:$F,B380),"")</f>
        <v>221</v>
      </c>
      <c r="D380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Master'!$F:$F,B380),"")</f>
        <v>0.41</v>
      </c>
      <c r="E380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Master'!$F:$F,B380),"")</f>
        <v>0.41</v>
      </c>
      <c r="F380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Master'!$F:$F,B380),"")</f>
        <v>7.3999999999999996E-2</v>
      </c>
      <c r="G380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Master'!$F:$F,B380),"")</f>
        <v>143</v>
      </c>
      <c r="H380">
        <f>IF(AND(ISNUMBER(C380),C380&gt;='Bulk Calculator'!U35/('Bulk Calculator'!J35*'Bulk Calculator'!L35)),1,0)</f>
        <v>1</v>
      </c>
      <c r="I380">
        <f>IFERROR(IF(AND(ISNUMBER(E380),ISNUMBER(F380),E380&gt;0,F380&gt;0),SQRT(3)*'Bulk Calculator'!O35*'Bulk Calculator'!AA35*((E380*'Bulk Calculator'!Q35)+(F380*SQRT(1-'Bulk Calculator'!Q35^2)))/'Bulk Calculator'!J35/'Bulk Calculator'!K35*100,D380*'Bulk Calculator'!AA35*'Bulk Calculator'!O35/'Bulk Calculator'!J35/'Bulk Calculator'!K35*100),"")</f>
        <v>0</v>
      </c>
      <c r="J380">
        <f>IFERROR(IF(AND(ISNUMBER(E380),ISNUMBER(F380),E380&gt;0,F380&gt;0),SQRT(3)*'Bulk Calculator'!O35*'Bulk Calculator'!U35*((E380*'Bulk Calculator'!M35)+(F380*SQRT(1-'Bulk Calculator'!M35^2)))/'Bulk Calculator'!J35/'Bulk Calculator'!K35*100,D380*'Bulk Calculator'!U35*'Bulk Calculator'!O35/'Bulk Calculator'!J35/'Bulk Calculator'!K35*100),"")</f>
        <v>0</v>
      </c>
      <c r="K380">
        <f>IFERROR(G380*B380*'Bulk Calculator'!J35/SQRT('Bulk Calculator'!S35)/1000,"")</f>
        <v>30.376983474334644</v>
      </c>
      <c r="L380">
        <f>IF(OR('Bulk Calculator'!R35="",'Bulk Calculator'!S35="",G380=""),0,IF(K380&gt;='Bulk Calculator'!R35,1,0))</f>
        <v>1</v>
      </c>
      <c r="M380">
        <f>IF(AND(H380=1,I380&lt;='OS-DORAEN'!$B$6,J380&lt;='OS-DORAEN'!$B$5,L380=1),1,0)</f>
        <v>1</v>
      </c>
      <c r="N380" t="str">
        <f t="shared" si="5"/>
        <v>R/X</v>
      </c>
    </row>
    <row r="381" spans="1:14" ht="15" customHeight="1" x14ac:dyDescent="0.35">
      <c r="A381">
        <v>35</v>
      </c>
      <c r="B381">
        <v>70</v>
      </c>
      <c r="C381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Master'!$F:$F,B381),"")</f>
        <v>179</v>
      </c>
      <c r="D381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Master'!$F:$F,B381),"")</f>
        <v>0.56699999999999995</v>
      </c>
      <c r="E381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Master'!$F:$F,B381),"")</f>
        <v>0.56699999999999995</v>
      </c>
      <c r="F381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Master'!$F:$F,B381),"")</f>
        <v>7.6999999999999999E-2</v>
      </c>
      <c r="G381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Master'!$F:$F,B381),"")</f>
        <v>143</v>
      </c>
      <c r="H381">
        <f>IF(AND(ISNUMBER(C381),C381&gt;='Bulk Calculator'!U35/('Bulk Calculator'!J35*'Bulk Calculator'!L35)),1,0)</f>
        <v>1</v>
      </c>
      <c r="I381">
        <f>IFERROR(IF(AND(ISNUMBER(E381),ISNUMBER(F381),E381&gt;0,F381&gt;0),SQRT(3)*'Bulk Calculator'!O35*'Bulk Calculator'!AA35*((E381*'Bulk Calculator'!Q35)+(F381*SQRT(1-'Bulk Calculator'!Q35^2)))/'Bulk Calculator'!J35/'Bulk Calculator'!K35*100,D381*'Bulk Calculator'!AA35*'Bulk Calculator'!O35/'Bulk Calculator'!J35/'Bulk Calculator'!K35*100),"")</f>
        <v>0</v>
      </c>
      <c r="J381">
        <f>IFERROR(IF(AND(ISNUMBER(E381),ISNUMBER(F381),E381&gt;0,F381&gt;0),SQRT(3)*'Bulk Calculator'!O35*'Bulk Calculator'!U35*((E381*'Bulk Calculator'!M35)+(F381*SQRT(1-'Bulk Calculator'!M35^2)))/'Bulk Calculator'!J35/'Bulk Calculator'!K35*100,D381*'Bulk Calculator'!U35*'Bulk Calculator'!O35/'Bulk Calculator'!J35/'Bulk Calculator'!K35*100),"")</f>
        <v>0</v>
      </c>
      <c r="K381">
        <f>IFERROR(G381*B381*'Bulk Calculator'!J35/SQRT('Bulk Calculator'!S35)/1000,"")</f>
        <v>22.383040454772893</v>
      </c>
      <c r="L381">
        <f>IF(OR('Bulk Calculator'!R35="",'Bulk Calculator'!S35="",G381=""),0,IF(K381&gt;='Bulk Calculator'!R35,1,0))</f>
        <v>1</v>
      </c>
      <c r="M381">
        <f>IF(AND(H381=1,I381&lt;='OS-DORAEN'!$B$6,J381&lt;='OS-DORAEN'!$B$5,L381=1),1,0)</f>
        <v>1</v>
      </c>
      <c r="N381" t="str">
        <f t="shared" si="5"/>
        <v>R/X</v>
      </c>
    </row>
    <row r="382" spans="1:14" ht="15" customHeight="1" x14ac:dyDescent="0.35">
      <c r="A382">
        <v>35</v>
      </c>
      <c r="B382">
        <v>50</v>
      </c>
      <c r="C382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Master'!$F:$F,B382),"")</f>
        <v>142</v>
      </c>
      <c r="D382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Master'!$F:$F,B382),"")</f>
        <v>0.82</v>
      </c>
      <c r="E382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Master'!$F:$F,B382),"")</f>
        <v>0.82</v>
      </c>
      <c r="F382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Master'!$F:$F,B382),"")</f>
        <v>7.8E-2</v>
      </c>
      <c r="G382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Master'!$F:$F,B382),"")</f>
        <v>143</v>
      </c>
      <c r="H382">
        <f>IF(AND(ISNUMBER(C382),C382&gt;='Bulk Calculator'!U35/('Bulk Calculator'!J35*'Bulk Calculator'!L35)),1,0)</f>
        <v>1</v>
      </c>
      <c r="I382">
        <f>IFERROR(IF(AND(ISNUMBER(E382),ISNUMBER(F382),E382&gt;0,F382&gt;0),SQRT(3)*'Bulk Calculator'!O35*'Bulk Calculator'!AA35*((E382*'Bulk Calculator'!Q35)+(F382*SQRT(1-'Bulk Calculator'!Q35^2)))/'Bulk Calculator'!J35/'Bulk Calculator'!K35*100,D382*'Bulk Calculator'!AA35*'Bulk Calculator'!O35/'Bulk Calculator'!J35/'Bulk Calculator'!K35*100),"")</f>
        <v>0</v>
      </c>
      <c r="J382">
        <f>IFERROR(IF(AND(ISNUMBER(E382),ISNUMBER(F382),E382&gt;0,F382&gt;0),SQRT(3)*'Bulk Calculator'!O35*'Bulk Calculator'!U35*((E382*'Bulk Calculator'!M35)+(F382*SQRT(1-'Bulk Calculator'!M35^2)))/'Bulk Calculator'!J35/'Bulk Calculator'!K35*100,D382*'Bulk Calculator'!U35*'Bulk Calculator'!O35/'Bulk Calculator'!J35/'Bulk Calculator'!K35*100),"")</f>
        <v>0</v>
      </c>
      <c r="K382">
        <f>IFERROR(G382*B382*'Bulk Calculator'!J35/SQRT('Bulk Calculator'!S35)/1000,"")</f>
        <v>15.987886039123497</v>
      </c>
      <c r="L382">
        <f>IF(OR('Bulk Calculator'!R35="",'Bulk Calculator'!S35="",G382=""),0,IF(K382&gt;='Bulk Calculator'!R35,1,0))</f>
        <v>1</v>
      </c>
      <c r="M382">
        <f>IF(AND(H382=1,I382&lt;='OS-DORAEN'!$B$6,J382&lt;='OS-DORAEN'!$B$5,L382=1),1,0)</f>
        <v>1</v>
      </c>
      <c r="N382" t="str">
        <f t="shared" si="5"/>
        <v>R/X</v>
      </c>
    </row>
    <row r="383" spans="1:14" ht="15" customHeight="1" x14ac:dyDescent="0.35">
      <c r="A383">
        <v>35</v>
      </c>
      <c r="B383">
        <v>35</v>
      </c>
      <c r="C383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Master'!$F:$F,B383),"")</f>
        <v>117</v>
      </c>
      <c r="D383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Master'!$F:$F,B383),"")</f>
        <v>1.1100000000000001</v>
      </c>
      <c r="E383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Master'!$F:$F,B383),"")</f>
        <v>1.1100000000000001</v>
      </c>
      <c r="F383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Master'!$F:$F,B383),"")</f>
        <v>0.08</v>
      </c>
      <c r="G383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Master'!$F:$F,B383),"")</f>
        <v>143</v>
      </c>
      <c r="H383">
        <f>IF(AND(ISNUMBER(C383),C383&gt;='Bulk Calculator'!U35/('Bulk Calculator'!J35*'Bulk Calculator'!L35)),1,0)</f>
        <v>1</v>
      </c>
      <c r="I383">
        <f>IFERROR(IF(AND(ISNUMBER(E383),ISNUMBER(F383),E383&gt;0,F383&gt;0),SQRT(3)*'Bulk Calculator'!O35*'Bulk Calculator'!AA35*((E383*'Bulk Calculator'!Q35)+(F383*SQRT(1-'Bulk Calculator'!Q35^2)))/'Bulk Calculator'!J35/'Bulk Calculator'!K35*100,D383*'Bulk Calculator'!AA35*'Bulk Calculator'!O35/'Bulk Calculator'!J35/'Bulk Calculator'!K35*100),"")</f>
        <v>0</v>
      </c>
      <c r="J383">
        <f>IFERROR(IF(AND(ISNUMBER(E383),ISNUMBER(F383),E383&gt;0,F383&gt;0),SQRT(3)*'Bulk Calculator'!O35*'Bulk Calculator'!U35*((E383*'Bulk Calculator'!M35)+(F383*SQRT(1-'Bulk Calculator'!M35^2)))/'Bulk Calculator'!J35/'Bulk Calculator'!K35*100,D383*'Bulk Calculator'!U35*'Bulk Calculator'!O35/'Bulk Calculator'!J35/'Bulk Calculator'!K35*100),"")</f>
        <v>0</v>
      </c>
      <c r="K383">
        <f>IFERROR(G383*B383*'Bulk Calculator'!J35/SQRT('Bulk Calculator'!S35)/1000,"")</f>
        <v>11.191520227386446</v>
      </c>
      <c r="L383">
        <f>IF(OR('Bulk Calculator'!R35="",'Bulk Calculator'!S35="",G383=""),0,IF(K383&gt;='Bulk Calculator'!R35,1,0))</f>
        <v>1</v>
      </c>
      <c r="M383">
        <f>IF(AND(H383=1,I383&lt;='OS-DORAEN'!$B$6,J383&lt;='OS-DORAEN'!$B$5,L383=1),1,0)</f>
        <v>1</v>
      </c>
      <c r="N383" t="str">
        <f t="shared" si="5"/>
        <v>R/X</v>
      </c>
    </row>
    <row r="384" spans="1:14" ht="15" customHeight="1" x14ac:dyDescent="0.35">
      <c r="A384">
        <v>35</v>
      </c>
      <c r="B384">
        <v>25</v>
      </c>
      <c r="C384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Master'!$F:$F,B384),"")</f>
        <v>96</v>
      </c>
      <c r="D384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Master'!$F:$F,B384),"")</f>
        <v>1.54</v>
      </c>
      <c r="E384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Master'!$F:$F,B384),"")</f>
        <v>1.54</v>
      </c>
      <c r="F384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Master'!$F:$F,B384),"")</f>
        <v>0.08</v>
      </c>
      <c r="G384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Master'!$F:$F,B384),"")</f>
        <v>143</v>
      </c>
      <c r="H384">
        <f>IF(AND(ISNUMBER(C384),C384&gt;='Bulk Calculator'!U35/('Bulk Calculator'!J35*'Bulk Calculator'!L35)),1,0)</f>
        <v>1</v>
      </c>
      <c r="I384">
        <f>IFERROR(IF(AND(ISNUMBER(E384),ISNUMBER(F384),E384&gt;0,F384&gt;0),SQRT(3)*'Bulk Calculator'!O35*'Bulk Calculator'!AA35*((E384*'Bulk Calculator'!Q35)+(F384*SQRT(1-'Bulk Calculator'!Q35^2)))/'Bulk Calculator'!J35/'Bulk Calculator'!K35*100,D384*'Bulk Calculator'!AA35*'Bulk Calculator'!O35/'Bulk Calculator'!J35/'Bulk Calculator'!K35*100),"")</f>
        <v>0</v>
      </c>
      <c r="J384">
        <f>IFERROR(IF(AND(ISNUMBER(E384),ISNUMBER(F384),E384&gt;0,F384&gt;0),SQRT(3)*'Bulk Calculator'!O35*'Bulk Calculator'!U35*((E384*'Bulk Calculator'!M35)+(F384*SQRT(1-'Bulk Calculator'!M35^2)))/'Bulk Calculator'!J35/'Bulk Calculator'!K35*100,D384*'Bulk Calculator'!U35*'Bulk Calculator'!O35/'Bulk Calculator'!J35/'Bulk Calculator'!K35*100),"")</f>
        <v>0</v>
      </c>
      <c r="K384">
        <f>IFERROR(G384*B384*'Bulk Calculator'!J35/SQRT('Bulk Calculator'!S35)/1000,"")</f>
        <v>7.9939430195617485</v>
      </c>
      <c r="L384">
        <f>IF(OR('Bulk Calculator'!R35="",'Bulk Calculator'!S35="",G384=""),0,IF(K384&gt;='Bulk Calculator'!R35,1,0))</f>
        <v>1</v>
      </c>
      <c r="M384">
        <f>IF(AND(H384=1,I384&lt;='OS-DORAEN'!$B$6,J384&lt;='OS-DORAEN'!$B$5,L384=1),1,0)</f>
        <v>1</v>
      </c>
      <c r="N384" t="str">
        <f t="shared" si="5"/>
        <v>R/X</v>
      </c>
    </row>
    <row r="385" spans="1:14" ht="15" customHeight="1" x14ac:dyDescent="0.35">
      <c r="A385">
        <v>35</v>
      </c>
      <c r="B385">
        <v>16</v>
      </c>
      <c r="C385">
        <f>IFERROR(SUMIFS('Cable Data Master'!$G:$G,'Cable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Master'!$F:$F,B385),"")</f>
        <v>0</v>
      </c>
      <c r="D385">
        <f>IFERROR(SUMIFS('Cable Data Master'!$K:$K,'Cable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Master'!$F:$F,B385),"")</f>
        <v>0</v>
      </c>
      <c r="E385">
        <f>IFERROR(SUMIFS('Cable Data Master'!$H:$H,'Cable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Master'!$F:$F,B385),"")</f>
        <v>0</v>
      </c>
      <c r="F385">
        <f>IFERROR(SUMIFS('Cable Data Master'!$I:$I,'Cable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Master'!$F:$F,B385),"")</f>
        <v>0</v>
      </c>
      <c r="G385">
        <f>IFERROR(SUMIFS('Cable Data Master'!$J:$J,'Cable Data Master'!$A:$A,'Bulk Calculator'!$BF35,'Cable Data Master'!$B:$B,'Bulk Calculator'!$BG35,'Cable Data Master'!$C:$C,'Bulk Calculator'!$BH35,'Cable Data Master'!$D:$D,'Bulk Calculator'!$BI35,'Cable Data Master'!$E:$E,'Bulk Calculator'!$BJ35,'Cable Data Master'!$F:$F,B385),"")</f>
        <v>0</v>
      </c>
      <c r="H385">
        <f>IF(AND(ISNUMBER(C385),C385&gt;='Bulk Calculator'!U35/('Bulk Calculator'!J35*'Bulk Calculator'!L35)),1,0)</f>
        <v>1</v>
      </c>
      <c r="I385">
        <f>IFERROR(IF(AND(ISNUMBER(E385),ISNUMBER(F385),E385&gt;0,F385&gt;0),SQRT(3)*'Bulk Calculator'!O35*'Bulk Calculator'!AA35*((E385*'Bulk Calculator'!Q35)+(F385*SQRT(1-'Bulk Calculator'!Q35^2)))/'Bulk Calculator'!J35/'Bulk Calculator'!K35*100,D385*'Bulk Calculator'!AA35*'Bulk Calculator'!O35/'Bulk Calculator'!J35/'Bulk Calculator'!K35*100),"")</f>
        <v>0</v>
      </c>
      <c r="J385">
        <f>IFERROR(IF(AND(ISNUMBER(E385),ISNUMBER(F385),E385&gt;0,F385&gt;0),SQRT(3)*'Bulk Calculator'!O35*'Bulk Calculator'!U35*((E385*'Bulk Calculator'!M35)+(F385*SQRT(1-'Bulk Calculator'!M35^2)))/'Bulk Calculator'!J35/'Bulk Calculator'!K35*100,D385*'Bulk Calculator'!U35*'Bulk Calculator'!O35/'Bulk Calculator'!J35/'Bulk Calculator'!K35*100),"")</f>
        <v>0</v>
      </c>
      <c r="K385">
        <f>IFERROR(G385*B385*'Bulk Calculator'!J35/SQRT('Bulk Calculator'!S35)/1000,"")</f>
        <v>0</v>
      </c>
      <c r="L385">
        <f>IF(OR('Bulk Calculator'!R35="",'Bulk Calculator'!S35="",G385=""),0,IF(K385&gt;='Bulk Calculator'!R35,1,0))</f>
        <v>1</v>
      </c>
      <c r="M385">
        <f>IF(AND(H385=1,I385&lt;='OS-DORAEN'!$B$6,J385&lt;='OS-DORAEN'!$B$5,L385=1),1,0)</f>
        <v>1</v>
      </c>
      <c r="N385" t="str">
        <f t="shared" si="5"/>
        <v>Manufacturer VD Ref</v>
      </c>
    </row>
    <row r="386" spans="1:14" ht="15" customHeight="1" x14ac:dyDescent="0.35">
      <c r="A386">
        <v>36</v>
      </c>
      <c r="B386">
        <v>400</v>
      </c>
      <c r="C386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Master'!$F:$F,B386),"")</f>
        <v>530</v>
      </c>
      <c r="D386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Master'!$F:$F,B386),"")</f>
        <v>0.1023</v>
      </c>
      <c r="E386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Master'!$F:$F,B386),"")</f>
        <v>0.1023</v>
      </c>
      <c r="F386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Master'!$F:$F,B386),"")</f>
        <v>7.0000000000000007E-2</v>
      </c>
      <c r="G386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Master'!$F:$F,B386),"")</f>
        <v>143</v>
      </c>
      <c r="H386">
        <f>IF(AND(ISNUMBER(C386),C386&gt;='Bulk Calculator'!U36/('Bulk Calculator'!J36*'Bulk Calculator'!L36)),1,0)</f>
        <v>1</v>
      </c>
      <c r="I386">
        <f>IFERROR(IF(AND(ISNUMBER(E386),ISNUMBER(F386),E386&gt;0,F386&gt;0),SQRT(3)*'Bulk Calculator'!O36*'Bulk Calculator'!AA36*((E386*'Bulk Calculator'!Q36)+(F386*SQRT(1-'Bulk Calculator'!Q36^2)))/'Bulk Calculator'!J36/'Bulk Calculator'!K36*100,D386*'Bulk Calculator'!AA36*'Bulk Calculator'!O36/'Bulk Calculator'!J36/'Bulk Calculator'!K36*100),"")</f>
        <v>0</v>
      </c>
      <c r="J386">
        <f>IFERROR(IF(AND(ISNUMBER(E386),ISNUMBER(F386),E386&gt;0,F386&gt;0),SQRT(3)*'Bulk Calculator'!O36*'Bulk Calculator'!U36*((E386*'Bulk Calculator'!M36)+(F386*SQRT(1-'Bulk Calculator'!M36^2)))/'Bulk Calculator'!J36/'Bulk Calculator'!K36*100,D386*'Bulk Calculator'!U36*'Bulk Calculator'!O36/'Bulk Calculator'!J36/'Bulk Calculator'!K36*100),"")</f>
        <v>0</v>
      </c>
      <c r="K386">
        <f>IFERROR(G386*B386*'Bulk Calculator'!J36/SQRT('Bulk Calculator'!S36)/1000,"")</f>
        <v>127.90308831298798</v>
      </c>
      <c r="L386">
        <f>IF(OR('Bulk Calculator'!R36="",'Bulk Calculator'!S36="",G386=""),0,IF(K386&gt;='Bulk Calculator'!R36,1,0))</f>
        <v>1</v>
      </c>
      <c r="M386">
        <f>IF(AND(H386=1,I386&lt;='OS-DORAEN'!$B$6,J386&lt;='OS-DORAEN'!$B$5,L386=1),1,0)</f>
        <v>1</v>
      </c>
      <c r="N386" t="str">
        <f t="shared" ref="N386:N449" si="6">IF(AND(ISNUMBER(E386),ISNUMBER(F386),E386&gt;0,F386&gt;0),"R/X","Manufacturer VD Ref")</f>
        <v>R/X</v>
      </c>
    </row>
    <row r="387" spans="1:14" ht="15" customHeight="1" x14ac:dyDescent="0.35">
      <c r="A387">
        <v>36</v>
      </c>
      <c r="B387">
        <v>300</v>
      </c>
      <c r="C387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Master'!$F:$F,B387),"")</f>
        <v>455</v>
      </c>
      <c r="D387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Master'!$F:$F,B387),"")</f>
        <v>0.13</v>
      </c>
      <c r="E387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Master'!$F:$F,B387),"")</f>
        <v>0.13</v>
      </c>
      <c r="F387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Master'!$F:$F,B387),"")</f>
        <v>7.0999999999999994E-2</v>
      </c>
      <c r="G387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Master'!$F:$F,B387),"")</f>
        <v>143</v>
      </c>
      <c r="H387">
        <f>IF(AND(ISNUMBER(C387),C387&gt;='Bulk Calculator'!U36/('Bulk Calculator'!J36*'Bulk Calculator'!L36)),1,0)</f>
        <v>1</v>
      </c>
      <c r="I387">
        <f>IFERROR(IF(AND(ISNUMBER(E387),ISNUMBER(F387),E387&gt;0,F387&gt;0),SQRT(3)*'Bulk Calculator'!O36*'Bulk Calculator'!AA36*((E387*'Bulk Calculator'!Q36)+(F387*SQRT(1-'Bulk Calculator'!Q36^2)))/'Bulk Calculator'!J36/'Bulk Calculator'!K36*100,D387*'Bulk Calculator'!AA36*'Bulk Calculator'!O36/'Bulk Calculator'!J36/'Bulk Calculator'!K36*100),"")</f>
        <v>0</v>
      </c>
      <c r="J387">
        <f>IFERROR(IF(AND(ISNUMBER(E387),ISNUMBER(F387),E387&gt;0,F387&gt;0),SQRT(3)*'Bulk Calculator'!O36*'Bulk Calculator'!U36*((E387*'Bulk Calculator'!M36)+(F387*SQRT(1-'Bulk Calculator'!M36^2)))/'Bulk Calculator'!J36/'Bulk Calculator'!K36*100,D387*'Bulk Calculator'!U36*'Bulk Calculator'!O36/'Bulk Calculator'!J36/'Bulk Calculator'!K36*100),"")</f>
        <v>0</v>
      </c>
      <c r="K387">
        <f>IFERROR(G387*B387*'Bulk Calculator'!J36/SQRT('Bulk Calculator'!S36)/1000,"")</f>
        <v>95.927316234740985</v>
      </c>
      <c r="L387">
        <f>IF(OR('Bulk Calculator'!R36="",'Bulk Calculator'!S36="",G387=""),0,IF(K387&gt;='Bulk Calculator'!R36,1,0))</f>
        <v>1</v>
      </c>
      <c r="M387">
        <f>IF(AND(H387=1,I387&lt;='OS-DORAEN'!$B$6,J387&lt;='OS-DORAEN'!$B$5,L387=1),1,0)</f>
        <v>1</v>
      </c>
      <c r="N387" t="str">
        <f t="shared" si="6"/>
        <v>R/X</v>
      </c>
    </row>
    <row r="388" spans="1:14" ht="15" customHeight="1" x14ac:dyDescent="0.35">
      <c r="A388">
        <v>36</v>
      </c>
      <c r="B388">
        <v>240</v>
      </c>
      <c r="C388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Master'!$F:$F,B388),"")</f>
        <v>399</v>
      </c>
      <c r="D388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Master'!$F:$F,B388),"")</f>
        <v>0.16200000000000001</v>
      </c>
      <c r="E388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Master'!$F:$F,B388),"")</f>
        <v>0.16200000000000001</v>
      </c>
      <c r="F388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Master'!$F:$F,B388),"")</f>
        <v>7.1999999999999995E-2</v>
      </c>
      <c r="G388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Master'!$F:$F,B388),"")</f>
        <v>143</v>
      </c>
      <c r="H388">
        <f>IF(AND(ISNUMBER(C388),C388&gt;='Bulk Calculator'!U36/('Bulk Calculator'!J36*'Bulk Calculator'!L36)),1,0)</f>
        <v>1</v>
      </c>
      <c r="I388">
        <f>IFERROR(IF(AND(ISNUMBER(E388),ISNUMBER(F388),E388&gt;0,F388&gt;0),SQRT(3)*'Bulk Calculator'!O36*'Bulk Calculator'!AA36*((E388*'Bulk Calculator'!Q36)+(F388*SQRT(1-'Bulk Calculator'!Q36^2)))/'Bulk Calculator'!J36/'Bulk Calculator'!K36*100,D388*'Bulk Calculator'!AA36*'Bulk Calculator'!O36/'Bulk Calculator'!J36/'Bulk Calculator'!K36*100),"")</f>
        <v>0</v>
      </c>
      <c r="J388">
        <f>IFERROR(IF(AND(ISNUMBER(E388),ISNUMBER(F388),E388&gt;0,F388&gt;0),SQRT(3)*'Bulk Calculator'!O36*'Bulk Calculator'!U36*((E388*'Bulk Calculator'!M36)+(F388*SQRT(1-'Bulk Calculator'!M36^2)))/'Bulk Calculator'!J36/'Bulk Calculator'!K36*100,D388*'Bulk Calculator'!U36*'Bulk Calculator'!O36/'Bulk Calculator'!J36/'Bulk Calculator'!K36*100),"")</f>
        <v>0</v>
      </c>
      <c r="K388">
        <f>IFERROR(G388*B388*'Bulk Calculator'!J36/SQRT('Bulk Calculator'!S36)/1000,"")</f>
        <v>76.741852987792782</v>
      </c>
      <c r="L388">
        <f>IF(OR('Bulk Calculator'!R36="",'Bulk Calculator'!S36="",G388=""),0,IF(K388&gt;='Bulk Calculator'!R36,1,0))</f>
        <v>1</v>
      </c>
      <c r="M388">
        <f>IF(AND(H388=1,I388&lt;='OS-DORAEN'!$B$6,J388&lt;='OS-DORAEN'!$B$5,L388=1),1,0)</f>
        <v>1</v>
      </c>
      <c r="N388" t="str">
        <f t="shared" si="6"/>
        <v>R/X</v>
      </c>
    </row>
    <row r="389" spans="1:14" ht="15" customHeight="1" x14ac:dyDescent="0.35">
      <c r="A389">
        <v>36</v>
      </c>
      <c r="B389">
        <v>185</v>
      </c>
      <c r="C389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Master'!$F:$F,B389),"")</f>
        <v>337</v>
      </c>
      <c r="D389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Master'!$F:$F,B389),"")</f>
        <v>0.21099999999999999</v>
      </c>
      <c r="E389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Master'!$F:$F,B389),"")</f>
        <v>0.21099999999999999</v>
      </c>
      <c r="F389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Master'!$F:$F,B389),"")</f>
        <v>7.1999999999999995E-2</v>
      </c>
      <c r="G389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Master'!$F:$F,B389),"")</f>
        <v>143</v>
      </c>
      <c r="H389">
        <f>IF(AND(ISNUMBER(C389),C389&gt;='Bulk Calculator'!U36/('Bulk Calculator'!J36*'Bulk Calculator'!L36)),1,0)</f>
        <v>1</v>
      </c>
      <c r="I389">
        <f>IFERROR(IF(AND(ISNUMBER(E389),ISNUMBER(F389),E389&gt;0,F389&gt;0),SQRT(3)*'Bulk Calculator'!O36*'Bulk Calculator'!AA36*((E389*'Bulk Calculator'!Q36)+(F389*SQRT(1-'Bulk Calculator'!Q36^2)))/'Bulk Calculator'!J36/'Bulk Calculator'!K36*100,D389*'Bulk Calculator'!AA36*'Bulk Calculator'!O36/'Bulk Calculator'!J36/'Bulk Calculator'!K36*100),"")</f>
        <v>0</v>
      </c>
      <c r="J389">
        <f>IFERROR(IF(AND(ISNUMBER(E389),ISNUMBER(F389),E389&gt;0,F389&gt;0),SQRT(3)*'Bulk Calculator'!O36*'Bulk Calculator'!U36*((E389*'Bulk Calculator'!M36)+(F389*SQRT(1-'Bulk Calculator'!M36^2)))/'Bulk Calculator'!J36/'Bulk Calculator'!K36*100,D389*'Bulk Calculator'!U36*'Bulk Calculator'!O36/'Bulk Calculator'!J36/'Bulk Calculator'!K36*100),"")</f>
        <v>0</v>
      </c>
      <c r="K389">
        <f>IFERROR(G389*B389*'Bulk Calculator'!J36/SQRT('Bulk Calculator'!S36)/1000,"")</f>
        <v>59.155178344756941</v>
      </c>
      <c r="L389">
        <f>IF(OR('Bulk Calculator'!R36="",'Bulk Calculator'!S36="",G389=""),0,IF(K389&gt;='Bulk Calculator'!R36,1,0))</f>
        <v>1</v>
      </c>
      <c r="M389">
        <f>IF(AND(H389=1,I389&lt;='OS-DORAEN'!$B$6,J389&lt;='OS-DORAEN'!$B$5,L389=1),1,0)</f>
        <v>1</v>
      </c>
      <c r="N389" t="str">
        <f t="shared" si="6"/>
        <v>R/X</v>
      </c>
    </row>
    <row r="390" spans="1:14" ht="15" customHeight="1" x14ac:dyDescent="0.35">
      <c r="A390">
        <v>36</v>
      </c>
      <c r="B390">
        <v>150</v>
      </c>
      <c r="C390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Master'!$F:$F,B390),"")</f>
        <v>292</v>
      </c>
      <c r="D390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Master'!$F:$F,B390),"")</f>
        <v>0.26500000000000001</v>
      </c>
      <c r="E390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Master'!$F:$F,B390),"")</f>
        <v>0.26500000000000001</v>
      </c>
      <c r="F390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Master'!$F:$F,B390),"")</f>
        <v>7.1999999999999995E-2</v>
      </c>
      <c r="G390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Master'!$F:$F,B390),"")</f>
        <v>143</v>
      </c>
      <c r="H390">
        <f>IF(AND(ISNUMBER(C390),C390&gt;='Bulk Calculator'!U36/('Bulk Calculator'!J36*'Bulk Calculator'!L36)),1,0)</f>
        <v>1</v>
      </c>
      <c r="I390">
        <f>IFERROR(IF(AND(ISNUMBER(E390),ISNUMBER(F390),E390&gt;0,F390&gt;0),SQRT(3)*'Bulk Calculator'!O36*'Bulk Calculator'!AA36*((E390*'Bulk Calculator'!Q36)+(F390*SQRT(1-'Bulk Calculator'!Q36^2)))/'Bulk Calculator'!J36/'Bulk Calculator'!K36*100,D390*'Bulk Calculator'!AA36*'Bulk Calculator'!O36/'Bulk Calculator'!J36/'Bulk Calculator'!K36*100),"")</f>
        <v>0</v>
      </c>
      <c r="J390">
        <f>IFERROR(IF(AND(ISNUMBER(E390),ISNUMBER(F390),E390&gt;0,F390&gt;0),SQRT(3)*'Bulk Calculator'!O36*'Bulk Calculator'!U36*((E390*'Bulk Calculator'!M36)+(F390*SQRT(1-'Bulk Calculator'!M36^2)))/'Bulk Calculator'!J36/'Bulk Calculator'!K36*100,D390*'Bulk Calculator'!U36*'Bulk Calculator'!O36/'Bulk Calculator'!J36/'Bulk Calculator'!K36*100),"")</f>
        <v>0</v>
      </c>
      <c r="K390">
        <f>IFERROR(G390*B390*'Bulk Calculator'!J36/SQRT('Bulk Calculator'!S36)/1000,"")</f>
        <v>47.963658117370493</v>
      </c>
      <c r="L390">
        <f>IF(OR('Bulk Calculator'!R36="",'Bulk Calculator'!S36="",G390=""),0,IF(K390&gt;='Bulk Calculator'!R36,1,0))</f>
        <v>1</v>
      </c>
      <c r="M390">
        <f>IF(AND(H390=1,I390&lt;='OS-DORAEN'!$B$6,J390&lt;='OS-DORAEN'!$B$5,L390=1),1,0)</f>
        <v>1</v>
      </c>
      <c r="N390" t="str">
        <f t="shared" si="6"/>
        <v>R/X</v>
      </c>
    </row>
    <row r="391" spans="1:14" ht="15" customHeight="1" x14ac:dyDescent="0.35">
      <c r="A391">
        <v>36</v>
      </c>
      <c r="B391">
        <v>120</v>
      </c>
      <c r="C391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Master'!$F:$F,B391),"")</f>
        <v>257</v>
      </c>
      <c r="D391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Master'!$F:$F,B391),"")</f>
        <v>0.32500000000000001</v>
      </c>
      <c r="E391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Master'!$F:$F,B391),"")</f>
        <v>0.32500000000000001</v>
      </c>
      <c r="F391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Master'!$F:$F,B391),"")</f>
        <v>7.1999999999999995E-2</v>
      </c>
      <c r="G391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Master'!$F:$F,B391),"")</f>
        <v>143</v>
      </c>
      <c r="H391">
        <f>IF(AND(ISNUMBER(C391),C391&gt;='Bulk Calculator'!U36/('Bulk Calculator'!J36*'Bulk Calculator'!L36)),1,0)</f>
        <v>1</v>
      </c>
      <c r="I391">
        <f>IFERROR(IF(AND(ISNUMBER(E391),ISNUMBER(F391),E391&gt;0,F391&gt;0),SQRT(3)*'Bulk Calculator'!O36*'Bulk Calculator'!AA36*((E391*'Bulk Calculator'!Q36)+(F391*SQRT(1-'Bulk Calculator'!Q36^2)))/'Bulk Calculator'!J36/'Bulk Calculator'!K36*100,D391*'Bulk Calculator'!AA36*'Bulk Calculator'!O36/'Bulk Calculator'!J36/'Bulk Calculator'!K36*100),"")</f>
        <v>0</v>
      </c>
      <c r="J391">
        <f>IFERROR(IF(AND(ISNUMBER(E391),ISNUMBER(F391),E391&gt;0,F391&gt;0),SQRT(3)*'Bulk Calculator'!O36*'Bulk Calculator'!U36*((E391*'Bulk Calculator'!M36)+(F391*SQRT(1-'Bulk Calculator'!M36^2)))/'Bulk Calculator'!J36/'Bulk Calculator'!K36*100,D391*'Bulk Calculator'!U36*'Bulk Calculator'!O36/'Bulk Calculator'!J36/'Bulk Calculator'!K36*100),"")</f>
        <v>0</v>
      </c>
      <c r="K391">
        <f>IFERROR(G391*B391*'Bulk Calculator'!J36/SQRT('Bulk Calculator'!S36)/1000,"")</f>
        <v>38.370926493896391</v>
      </c>
      <c r="L391">
        <f>IF(OR('Bulk Calculator'!R36="",'Bulk Calculator'!S36="",G391=""),0,IF(K391&gt;='Bulk Calculator'!R36,1,0))</f>
        <v>1</v>
      </c>
      <c r="M391">
        <f>IF(AND(H391=1,I391&lt;='OS-DORAEN'!$B$6,J391&lt;='OS-DORAEN'!$B$5,L391=1),1,0)</f>
        <v>1</v>
      </c>
      <c r="N391" t="str">
        <f t="shared" si="6"/>
        <v>R/X</v>
      </c>
    </row>
    <row r="392" spans="1:14" ht="15" customHeight="1" x14ac:dyDescent="0.35">
      <c r="A392">
        <v>36</v>
      </c>
      <c r="B392">
        <v>95</v>
      </c>
      <c r="C392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Master'!$F:$F,B392),"")</f>
        <v>221</v>
      </c>
      <c r="D392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Master'!$F:$F,B392),"")</f>
        <v>0.41</v>
      </c>
      <c r="E392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Master'!$F:$F,B392),"")</f>
        <v>0.41</v>
      </c>
      <c r="F392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Master'!$F:$F,B392),"")</f>
        <v>7.3999999999999996E-2</v>
      </c>
      <c r="G392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Master'!$F:$F,B392),"")</f>
        <v>143</v>
      </c>
      <c r="H392">
        <f>IF(AND(ISNUMBER(C392),C392&gt;='Bulk Calculator'!U36/('Bulk Calculator'!J36*'Bulk Calculator'!L36)),1,0)</f>
        <v>1</v>
      </c>
      <c r="I392">
        <f>IFERROR(IF(AND(ISNUMBER(E392),ISNUMBER(F392),E392&gt;0,F392&gt;0),SQRT(3)*'Bulk Calculator'!O36*'Bulk Calculator'!AA36*((E392*'Bulk Calculator'!Q36)+(F392*SQRT(1-'Bulk Calculator'!Q36^2)))/'Bulk Calculator'!J36/'Bulk Calculator'!K36*100,D392*'Bulk Calculator'!AA36*'Bulk Calculator'!O36/'Bulk Calculator'!J36/'Bulk Calculator'!K36*100),"")</f>
        <v>0</v>
      </c>
      <c r="J392">
        <f>IFERROR(IF(AND(ISNUMBER(E392),ISNUMBER(F392),E392&gt;0,F392&gt;0),SQRT(3)*'Bulk Calculator'!O36*'Bulk Calculator'!U36*((E392*'Bulk Calculator'!M36)+(F392*SQRT(1-'Bulk Calculator'!M36^2)))/'Bulk Calculator'!J36/'Bulk Calculator'!K36*100,D392*'Bulk Calculator'!U36*'Bulk Calculator'!O36/'Bulk Calculator'!J36/'Bulk Calculator'!K36*100),"")</f>
        <v>0</v>
      </c>
      <c r="K392">
        <f>IFERROR(G392*B392*'Bulk Calculator'!J36/SQRT('Bulk Calculator'!S36)/1000,"")</f>
        <v>30.376983474334644</v>
      </c>
      <c r="L392">
        <f>IF(OR('Bulk Calculator'!R36="",'Bulk Calculator'!S36="",G392=""),0,IF(K392&gt;='Bulk Calculator'!R36,1,0))</f>
        <v>1</v>
      </c>
      <c r="M392">
        <f>IF(AND(H392=1,I392&lt;='OS-DORAEN'!$B$6,J392&lt;='OS-DORAEN'!$B$5,L392=1),1,0)</f>
        <v>1</v>
      </c>
      <c r="N392" t="str">
        <f t="shared" si="6"/>
        <v>R/X</v>
      </c>
    </row>
    <row r="393" spans="1:14" ht="15" customHeight="1" x14ac:dyDescent="0.35">
      <c r="A393">
        <v>36</v>
      </c>
      <c r="B393">
        <v>70</v>
      </c>
      <c r="C393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Master'!$F:$F,B393),"")</f>
        <v>179</v>
      </c>
      <c r="D393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Master'!$F:$F,B393),"")</f>
        <v>0.56699999999999995</v>
      </c>
      <c r="E393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Master'!$F:$F,B393),"")</f>
        <v>0.56699999999999995</v>
      </c>
      <c r="F393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Master'!$F:$F,B393),"")</f>
        <v>7.6999999999999999E-2</v>
      </c>
      <c r="G393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Master'!$F:$F,B393),"")</f>
        <v>143</v>
      </c>
      <c r="H393">
        <f>IF(AND(ISNUMBER(C393),C393&gt;='Bulk Calculator'!U36/('Bulk Calculator'!J36*'Bulk Calculator'!L36)),1,0)</f>
        <v>1</v>
      </c>
      <c r="I393">
        <f>IFERROR(IF(AND(ISNUMBER(E393),ISNUMBER(F393),E393&gt;0,F393&gt;0),SQRT(3)*'Bulk Calculator'!O36*'Bulk Calculator'!AA36*((E393*'Bulk Calculator'!Q36)+(F393*SQRT(1-'Bulk Calculator'!Q36^2)))/'Bulk Calculator'!J36/'Bulk Calculator'!K36*100,D393*'Bulk Calculator'!AA36*'Bulk Calculator'!O36/'Bulk Calculator'!J36/'Bulk Calculator'!K36*100),"")</f>
        <v>0</v>
      </c>
      <c r="J393">
        <f>IFERROR(IF(AND(ISNUMBER(E393),ISNUMBER(F393),E393&gt;0,F393&gt;0),SQRT(3)*'Bulk Calculator'!O36*'Bulk Calculator'!U36*((E393*'Bulk Calculator'!M36)+(F393*SQRT(1-'Bulk Calculator'!M36^2)))/'Bulk Calculator'!J36/'Bulk Calculator'!K36*100,D393*'Bulk Calculator'!U36*'Bulk Calculator'!O36/'Bulk Calculator'!J36/'Bulk Calculator'!K36*100),"")</f>
        <v>0</v>
      </c>
      <c r="K393">
        <f>IFERROR(G393*B393*'Bulk Calculator'!J36/SQRT('Bulk Calculator'!S36)/1000,"")</f>
        <v>22.383040454772893</v>
      </c>
      <c r="L393">
        <f>IF(OR('Bulk Calculator'!R36="",'Bulk Calculator'!S36="",G393=""),0,IF(K393&gt;='Bulk Calculator'!R36,1,0))</f>
        <v>1</v>
      </c>
      <c r="M393">
        <f>IF(AND(H393=1,I393&lt;='OS-DORAEN'!$B$6,J393&lt;='OS-DORAEN'!$B$5,L393=1),1,0)</f>
        <v>1</v>
      </c>
      <c r="N393" t="str">
        <f t="shared" si="6"/>
        <v>R/X</v>
      </c>
    </row>
    <row r="394" spans="1:14" ht="15" customHeight="1" x14ac:dyDescent="0.35">
      <c r="A394">
        <v>36</v>
      </c>
      <c r="B394">
        <v>50</v>
      </c>
      <c r="C394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Master'!$F:$F,B394),"")</f>
        <v>142</v>
      </c>
      <c r="D394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Master'!$F:$F,B394),"")</f>
        <v>0.82</v>
      </c>
      <c r="E394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Master'!$F:$F,B394),"")</f>
        <v>0.82</v>
      </c>
      <c r="F394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Master'!$F:$F,B394),"")</f>
        <v>7.8E-2</v>
      </c>
      <c r="G394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Master'!$F:$F,B394),"")</f>
        <v>143</v>
      </c>
      <c r="H394">
        <f>IF(AND(ISNUMBER(C394),C394&gt;='Bulk Calculator'!U36/('Bulk Calculator'!J36*'Bulk Calculator'!L36)),1,0)</f>
        <v>1</v>
      </c>
      <c r="I394">
        <f>IFERROR(IF(AND(ISNUMBER(E394),ISNUMBER(F394),E394&gt;0,F394&gt;0),SQRT(3)*'Bulk Calculator'!O36*'Bulk Calculator'!AA36*((E394*'Bulk Calculator'!Q36)+(F394*SQRT(1-'Bulk Calculator'!Q36^2)))/'Bulk Calculator'!J36/'Bulk Calculator'!K36*100,D394*'Bulk Calculator'!AA36*'Bulk Calculator'!O36/'Bulk Calculator'!J36/'Bulk Calculator'!K36*100),"")</f>
        <v>0</v>
      </c>
      <c r="J394">
        <f>IFERROR(IF(AND(ISNUMBER(E394),ISNUMBER(F394),E394&gt;0,F394&gt;0),SQRT(3)*'Bulk Calculator'!O36*'Bulk Calculator'!U36*((E394*'Bulk Calculator'!M36)+(F394*SQRT(1-'Bulk Calculator'!M36^2)))/'Bulk Calculator'!J36/'Bulk Calculator'!K36*100,D394*'Bulk Calculator'!U36*'Bulk Calculator'!O36/'Bulk Calculator'!J36/'Bulk Calculator'!K36*100),"")</f>
        <v>0</v>
      </c>
      <c r="K394">
        <f>IFERROR(G394*B394*'Bulk Calculator'!J36/SQRT('Bulk Calculator'!S36)/1000,"")</f>
        <v>15.987886039123497</v>
      </c>
      <c r="L394">
        <f>IF(OR('Bulk Calculator'!R36="",'Bulk Calculator'!S36="",G394=""),0,IF(K394&gt;='Bulk Calculator'!R36,1,0))</f>
        <v>1</v>
      </c>
      <c r="M394">
        <f>IF(AND(H394=1,I394&lt;='OS-DORAEN'!$B$6,J394&lt;='OS-DORAEN'!$B$5,L394=1),1,0)</f>
        <v>1</v>
      </c>
      <c r="N394" t="str">
        <f t="shared" si="6"/>
        <v>R/X</v>
      </c>
    </row>
    <row r="395" spans="1:14" ht="15" customHeight="1" x14ac:dyDescent="0.35">
      <c r="A395">
        <v>36</v>
      </c>
      <c r="B395">
        <v>35</v>
      </c>
      <c r="C395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Master'!$F:$F,B395),"")</f>
        <v>117</v>
      </c>
      <c r="D395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Master'!$F:$F,B395),"")</f>
        <v>1.1100000000000001</v>
      </c>
      <c r="E395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Master'!$F:$F,B395),"")</f>
        <v>1.1100000000000001</v>
      </c>
      <c r="F395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Master'!$F:$F,B395),"")</f>
        <v>0.08</v>
      </c>
      <c r="G395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Master'!$F:$F,B395),"")</f>
        <v>143</v>
      </c>
      <c r="H395">
        <f>IF(AND(ISNUMBER(C395),C395&gt;='Bulk Calculator'!U36/('Bulk Calculator'!J36*'Bulk Calculator'!L36)),1,0)</f>
        <v>1</v>
      </c>
      <c r="I395">
        <f>IFERROR(IF(AND(ISNUMBER(E395),ISNUMBER(F395),E395&gt;0,F395&gt;0),SQRT(3)*'Bulk Calculator'!O36*'Bulk Calculator'!AA36*((E395*'Bulk Calculator'!Q36)+(F395*SQRT(1-'Bulk Calculator'!Q36^2)))/'Bulk Calculator'!J36/'Bulk Calculator'!K36*100,D395*'Bulk Calculator'!AA36*'Bulk Calculator'!O36/'Bulk Calculator'!J36/'Bulk Calculator'!K36*100),"")</f>
        <v>0</v>
      </c>
      <c r="J395">
        <f>IFERROR(IF(AND(ISNUMBER(E395),ISNUMBER(F395),E395&gt;0,F395&gt;0),SQRT(3)*'Bulk Calculator'!O36*'Bulk Calculator'!U36*((E395*'Bulk Calculator'!M36)+(F395*SQRT(1-'Bulk Calculator'!M36^2)))/'Bulk Calculator'!J36/'Bulk Calculator'!K36*100,D395*'Bulk Calculator'!U36*'Bulk Calculator'!O36/'Bulk Calculator'!J36/'Bulk Calculator'!K36*100),"")</f>
        <v>0</v>
      </c>
      <c r="K395">
        <f>IFERROR(G395*B395*'Bulk Calculator'!J36/SQRT('Bulk Calculator'!S36)/1000,"")</f>
        <v>11.191520227386446</v>
      </c>
      <c r="L395">
        <f>IF(OR('Bulk Calculator'!R36="",'Bulk Calculator'!S36="",G395=""),0,IF(K395&gt;='Bulk Calculator'!R36,1,0))</f>
        <v>1</v>
      </c>
      <c r="M395">
        <f>IF(AND(H395=1,I395&lt;='OS-DORAEN'!$B$6,J395&lt;='OS-DORAEN'!$B$5,L395=1),1,0)</f>
        <v>1</v>
      </c>
      <c r="N395" t="str">
        <f t="shared" si="6"/>
        <v>R/X</v>
      </c>
    </row>
    <row r="396" spans="1:14" ht="15" customHeight="1" x14ac:dyDescent="0.35">
      <c r="A396">
        <v>36</v>
      </c>
      <c r="B396">
        <v>25</v>
      </c>
      <c r="C396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Master'!$F:$F,B396),"")</f>
        <v>96</v>
      </c>
      <c r="D396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Master'!$F:$F,B396),"")</f>
        <v>1.54</v>
      </c>
      <c r="E396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Master'!$F:$F,B396),"")</f>
        <v>1.54</v>
      </c>
      <c r="F396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Master'!$F:$F,B396),"")</f>
        <v>0.08</v>
      </c>
      <c r="G396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Master'!$F:$F,B396),"")</f>
        <v>143</v>
      </c>
      <c r="H396">
        <f>IF(AND(ISNUMBER(C396),C396&gt;='Bulk Calculator'!U36/('Bulk Calculator'!J36*'Bulk Calculator'!L36)),1,0)</f>
        <v>1</v>
      </c>
      <c r="I396">
        <f>IFERROR(IF(AND(ISNUMBER(E396),ISNUMBER(F396),E396&gt;0,F396&gt;0),SQRT(3)*'Bulk Calculator'!O36*'Bulk Calculator'!AA36*((E396*'Bulk Calculator'!Q36)+(F396*SQRT(1-'Bulk Calculator'!Q36^2)))/'Bulk Calculator'!J36/'Bulk Calculator'!K36*100,D396*'Bulk Calculator'!AA36*'Bulk Calculator'!O36/'Bulk Calculator'!J36/'Bulk Calculator'!K36*100),"")</f>
        <v>0</v>
      </c>
      <c r="J396">
        <f>IFERROR(IF(AND(ISNUMBER(E396),ISNUMBER(F396),E396&gt;0,F396&gt;0),SQRT(3)*'Bulk Calculator'!O36*'Bulk Calculator'!U36*((E396*'Bulk Calculator'!M36)+(F396*SQRT(1-'Bulk Calculator'!M36^2)))/'Bulk Calculator'!J36/'Bulk Calculator'!K36*100,D396*'Bulk Calculator'!U36*'Bulk Calculator'!O36/'Bulk Calculator'!J36/'Bulk Calculator'!K36*100),"")</f>
        <v>0</v>
      </c>
      <c r="K396">
        <f>IFERROR(G396*B396*'Bulk Calculator'!J36/SQRT('Bulk Calculator'!S36)/1000,"")</f>
        <v>7.9939430195617485</v>
      </c>
      <c r="L396">
        <f>IF(OR('Bulk Calculator'!R36="",'Bulk Calculator'!S36="",G396=""),0,IF(K396&gt;='Bulk Calculator'!R36,1,0))</f>
        <v>1</v>
      </c>
      <c r="M396">
        <f>IF(AND(H396=1,I396&lt;='OS-DORAEN'!$B$6,J396&lt;='OS-DORAEN'!$B$5,L396=1),1,0)</f>
        <v>1</v>
      </c>
      <c r="N396" t="str">
        <f t="shared" si="6"/>
        <v>R/X</v>
      </c>
    </row>
    <row r="397" spans="1:14" ht="15" customHeight="1" x14ac:dyDescent="0.35">
      <c r="A397">
        <v>36</v>
      </c>
      <c r="B397">
        <v>16</v>
      </c>
      <c r="C397">
        <f>IFERROR(SUMIFS('Cable Data Master'!$G:$G,'Cable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Master'!$F:$F,B397),"")</f>
        <v>0</v>
      </c>
      <c r="D397">
        <f>IFERROR(SUMIFS('Cable Data Master'!$K:$K,'Cable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Master'!$F:$F,B397),"")</f>
        <v>0</v>
      </c>
      <c r="E397">
        <f>IFERROR(SUMIFS('Cable Data Master'!$H:$H,'Cable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Master'!$F:$F,B397),"")</f>
        <v>0</v>
      </c>
      <c r="F397">
        <f>IFERROR(SUMIFS('Cable Data Master'!$I:$I,'Cable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Master'!$F:$F,B397),"")</f>
        <v>0</v>
      </c>
      <c r="G397">
        <f>IFERROR(SUMIFS('Cable Data Master'!$J:$J,'Cable Data Master'!$A:$A,'Bulk Calculator'!$BF36,'Cable Data Master'!$B:$B,'Bulk Calculator'!$BG36,'Cable Data Master'!$C:$C,'Bulk Calculator'!$BH36,'Cable Data Master'!$D:$D,'Bulk Calculator'!$BI36,'Cable Data Master'!$E:$E,'Bulk Calculator'!$BJ36,'Cable Data Master'!$F:$F,B397),"")</f>
        <v>0</v>
      </c>
      <c r="H397">
        <f>IF(AND(ISNUMBER(C397),C397&gt;='Bulk Calculator'!U36/('Bulk Calculator'!J36*'Bulk Calculator'!L36)),1,0)</f>
        <v>1</v>
      </c>
      <c r="I397">
        <f>IFERROR(IF(AND(ISNUMBER(E397),ISNUMBER(F397),E397&gt;0,F397&gt;0),SQRT(3)*'Bulk Calculator'!O36*'Bulk Calculator'!AA36*((E397*'Bulk Calculator'!Q36)+(F397*SQRT(1-'Bulk Calculator'!Q36^2)))/'Bulk Calculator'!J36/'Bulk Calculator'!K36*100,D397*'Bulk Calculator'!AA36*'Bulk Calculator'!O36/'Bulk Calculator'!J36/'Bulk Calculator'!K36*100),"")</f>
        <v>0</v>
      </c>
      <c r="J397">
        <f>IFERROR(IF(AND(ISNUMBER(E397),ISNUMBER(F397),E397&gt;0,F397&gt;0),SQRT(3)*'Bulk Calculator'!O36*'Bulk Calculator'!U36*((E397*'Bulk Calculator'!M36)+(F397*SQRT(1-'Bulk Calculator'!M36^2)))/'Bulk Calculator'!J36/'Bulk Calculator'!K36*100,D397*'Bulk Calculator'!U36*'Bulk Calculator'!O36/'Bulk Calculator'!J36/'Bulk Calculator'!K36*100),"")</f>
        <v>0</v>
      </c>
      <c r="K397">
        <f>IFERROR(G397*B397*'Bulk Calculator'!J36/SQRT('Bulk Calculator'!S36)/1000,"")</f>
        <v>0</v>
      </c>
      <c r="L397">
        <f>IF(OR('Bulk Calculator'!R36="",'Bulk Calculator'!S36="",G397=""),0,IF(K397&gt;='Bulk Calculator'!R36,1,0))</f>
        <v>1</v>
      </c>
      <c r="M397">
        <f>IF(AND(H397=1,I397&lt;='OS-DORAEN'!$B$6,J397&lt;='OS-DORAEN'!$B$5,L397=1),1,0)</f>
        <v>1</v>
      </c>
      <c r="N397" t="str">
        <f t="shared" si="6"/>
        <v>Manufacturer VD Ref</v>
      </c>
    </row>
    <row r="398" spans="1:14" ht="15" customHeight="1" x14ac:dyDescent="0.35">
      <c r="A398">
        <v>37</v>
      </c>
      <c r="B398">
        <v>400</v>
      </c>
      <c r="C398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Master'!$F:$F,B398),"")</f>
        <v>530</v>
      </c>
      <c r="D398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Master'!$F:$F,B398),"")</f>
        <v>0.1023</v>
      </c>
      <c r="E398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Master'!$F:$F,B398),"")</f>
        <v>0.1023</v>
      </c>
      <c r="F398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Master'!$F:$F,B398),"")</f>
        <v>7.0000000000000007E-2</v>
      </c>
      <c r="G398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Master'!$F:$F,B398),"")</f>
        <v>143</v>
      </c>
      <c r="H398">
        <f>IF(AND(ISNUMBER(C398),C398&gt;='Bulk Calculator'!U37/('Bulk Calculator'!J37*'Bulk Calculator'!L37)),1,0)</f>
        <v>1</v>
      </c>
      <c r="I398">
        <f>IFERROR(IF(AND(ISNUMBER(E398),ISNUMBER(F398),E398&gt;0,F398&gt;0),SQRT(3)*'Bulk Calculator'!O37*'Bulk Calculator'!AA37*((E398*'Bulk Calculator'!Q37)+(F398*SQRT(1-'Bulk Calculator'!Q37^2)))/'Bulk Calculator'!J37/'Bulk Calculator'!K37*100,D398*'Bulk Calculator'!AA37*'Bulk Calculator'!O37/'Bulk Calculator'!J37/'Bulk Calculator'!K37*100),"")</f>
        <v>0</v>
      </c>
      <c r="J398">
        <f>IFERROR(IF(AND(ISNUMBER(E398),ISNUMBER(F398),E398&gt;0,F398&gt;0),SQRT(3)*'Bulk Calculator'!O37*'Bulk Calculator'!U37*((E398*'Bulk Calculator'!M37)+(F398*SQRT(1-'Bulk Calculator'!M37^2)))/'Bulk Calculator'!J37/'Bulk Calculator'!K37*100,D398*'Bulk Calculator'!U37*'Bulk Calculator'!O37/'Bulk Calculator'!J37/'Bulk Calculator'!K37*100),"")</f>
        <v>0</v>
      </c>
      <c r="K398">
        <f>IFERROR(G398*B398*'Bulk Calculator'!J37/SQRT('Bulk Calculator'!S37)/1000,"")</f>
        <v>127.90308831298798</v>
      </c>
      <c r="L398">
        <f>IF(OR('Bulk Calculator'!R37="",'Bulk Calculator'!S37="",G398=""),0,IF(K398&gt;='Bulk Calculator'!R37,1,0))</f>
        <v>1</v>
      </c>
      <c r="M398">
        <f>IF(AND(H398=1,I398&lt;='OS-DORAEN'!$B$6,J398&lt;='OS-DORAEN'!$B$5,L398=1),1,0)</f>
        <v>1</v>
      </c>
      <c r="N398" t="str">
        <f t="shared" si="6"/>
        <v>R/X</v>
      </c>
    </row>
    <row r="399" spans="1:14" ht="15" customHeight="1" x14ac:dyDescent="0.35">
      <c r="A399">
        <v>37</v>
      </c>
      <c r="B399">
        <v>300</v>
      </c>
      <c r="C399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Master'!$F:$F,B399),"")</f>
        <v>455</v>
      </c>
      <c r="D399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Master'!$F:$F,B399),"")</f>
        <v>0.13</v>
      </c>
      <c r="E399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Master'!$F:$F,B399),"")</f>
        <v>0.13</v>
      </c>
      <c r="F399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Master'!$F:$F,B399),"")</f>
        <v>7.0999999999999994E-2</v>
      </c>
      <c r="G399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Master'!$F:$F,B399),"")</f>
        <v>143</v>
      </c>
      <c r="H399">
        <f>IF(AND(ISNUMBER(C399),C399&gt;='Bulk Calculator'!U37/('Bulk Calculator'!J37*'Bulk Calculator'!L37)),1,0)</f>
        <v>1</v>
      </c>
      <c r="I399">
        <f>IFERROR(IF(AND(ISNUMBER(E399),ISNUMBER(F399),E399&gt;0,F399&gt;0),SQRT(3)*'Bulk Calculator'!O37*'Bulk Calculator'!AA37*((E399*'Bulk Calculator'!Q37)+(F399*SQRT(1-'Bulk Calculator'!Q37^2)))/'Bulk Calculator'!J37/'Bulk Calculator'!K37*100,D399*'Bulk Calculator'!AA37*'Bulk Calculator'!O37/'Bulk Calculator'!J37/'Bulk Calculator'!K37*100),"")</f>
        <v>0</v>
      </c>
      <c r="J399">
        <f>IFERROR(IF(AND(ISNUMBER(E399),ISNUMBER(F399),E399&gt;0,F399&gt;0),SQRT(3)*'Bulk Calculator'!O37*'Bulk Calculator'!U37*((E399*'Bulk Calculator'!M37)+(F399*SQRT(1-'Bulk Calculator'!M37^2)))/'Bulk Calculator'!J37/'Bulk Calculator'!K37*100,D399*'Bulk Calculator'!U37*'Bulk Calculator'!O37/'Bulk Calculator'!J37/'Bulk Calculator'!K37*100),"")</f>
        <v>0</v>
      </c>
      <c r="K399">
        <f>IFERROR(G399*B399*'Bulk Calculator'!J37/SQRT('Bulk Calculator'!S37)/1000,"")</f>
        <v>95.927316234740985</v>
      </c>
      <c r="L399">
        <f>IF(OR('Bulk Calculator'!R37="",'Bulk Calculator'!S37="",G399=""),0,IF(K399&gt;='Bulk Calculator'!R37,1,0))</f>
        <v>1</v>
      </c>
      <c r="M399">
        <f>IF(AND(H399=1,I399&lt;='OS-DORAEN'!$B$6,J399&lt;='OS-DORAEN'!$B$5,L399=1),1,0)</f>
        <v>1</v>
      </c>
      <c r="N399" t="str">
        <f t="shared" si="6"/>
        <v>R/X</v>
      </c>
    </row>
    <row r="400" spans="1:14" ht="15" customHeight="1" x14ac:dyDescent="0.35">
      <c r="A400">
        <v>37</v>
      </c>
      <c r="B400">
        <v>240</v>
      </c>
      <c r="C400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Master'!$F:$F,B400),"")</f>
        <v>399</v>
      </c>
      <c r="D400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Master'!$F:$F,B400),"")</f>
        <v>0.16200000000000001</v>
      </c>
      <c r="E400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Master'!$F:$F,B400),"")</f>
        <v>0.16200000000000001</v>
      </c>
      <c r="F400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Master'!$F:$F,B400),"")</f>
        <v>7.1999999999999995E-2</v>
      </c>
      <c r="G400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Master'!$F:$F,B400),"")</f>
        <v>143</v>
      </c>
      <c r="H400">
        <f>IF(AND(ISNUMBER(C400),C400&gt;='Bulk Calculator'!U37/('Bulk Calculator'!J37*'Bulk Calculator'!L37)),1,0)</f>
        <v>1</v>
      </c>
      <c r="I400">
        <f>IFERROR(IF(AND(ISNUMBER(E400),ISNUMBER(F400),E400&gt;0,F400&gt;0),SQRT(3)*'Bulk Calculator'!O37*'Bulk Calculator'!AA37*((E400*'Bulk Calculator'!Q37)+(F400*SQRT(1-'Bulk Calculator'!Q37^2)))/'Bulk Calculator'!J37/'Bulk Calculator'!K37*100,D400*'Bulk Calculator'!AA37*'Bulk Calculator'!O37/'Bulk Calculator'!J37/'Bulk Calculator'!K37*100),"")</f>
        <v>0</v>
      </c>
      <c r="J400">
        <f>IFERROR(IF(AND(ISNUMBER(E400),ISNUMBER(F400),E400&gt;0,F400&gt;0),SQRT(3)*'Bulk Calculator'!O37*'Bulk Calculator'!U37*((E400*'Bulk Calculator'!M37)+(F400*SQRT(1-'Bulk Calculator'!M37^2)))/'Bulk Calculator'!J37/'Bulk Calculator'!K37*100,D400*'Bulk Calculator'!U37*'Bulk Calculator'!O37/'Bulk Calculator'!J37/'Bulk Calculator'!K37*100),"")</f>
        <v>0</v>
      </c>
      <c r="K400">
        <f>IFERROR(G400*B400*'Bulk Calculator'!J37/SQRT('Bulk Calculator'!S37)/1000,"")</f>
        <v>76.741852987792782</v>
      </c>
      <c r="L400">
        <f>IF(OR('Bulk Calculator'!R37="",'Bulk Calculator'!S37="",G400=""),0,IF(K400&gt;='Bulk Calculator'!R37,1,0))</f>
        <v>1</v>
      </c>
      <c r="M400">
        <f>IF(AND(H400=1,I400&lt;='OS-DORAEN'!$B$6,J400&lt;='OS-DORAEN'!$B$5,L400=1),1,0)</f>
        <v>1</v>
      </c>
      <c r="N400" t="str">
        <f t="shared" si="6"/>
        <v>R/X</v>
      </c>
    </row>
    <row r="401" spans="1:14" ht="15" customHeight="1" x14ac:dyDescent="0.35">
      <c r="A401">
        <v>37</v>
      </c>
      <c r="B401">
        <v>185</v>
      </c>
      <c r="C401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Master'!$F:$F,B401),"")</f>
        <v>337</v>
      </c>
      <c r="D401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Master'!$F:$F,B401),"")</f>
        <v>0.21099999999999999</v>
      </c>
      <c r="E401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Master'!$F:$F,B401),"")</f>
        <v>0.21099999999999999</v>
      </c>
      <c r="F401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Master'!$F:$F,B401),"")</f>
        <v>7.1999999999999995E-2</v>
      </c>
      <c r="G401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Master'!$F:$F,B401),"")</f>
        <v>143</v>
      </c>
      <c r="H401">
        <f>IF(AND(ISNUMBER(C401),C401&gt;='Bulk Calculator'!U37/('Bulk Calculator'!J37*'Bulk Calculator'!L37)),1,0)</f>
        <v>1</v>
      </c>
      <c r="I401">
        <f>IFERROR(IF(AND(ISNUMBER(E401),ISNUMBER(F401),E401&gt;0,F401&gt;0),SQRT(3)*'Bulk Calculator'!O37*'Bulk Calculator'!AA37*((E401*'Bulk Calculator'!Q37)+(F401*SQRT(1-'Bulk Calculator'!Q37^2)))/'Bulk Calculator'!J37/'Bulk Calculator'!K37*100,D401*'Bulk Calculator'!AA37*'Bulk Calculator'!O37/'Bulk Calculator'!J37/'Bulk Calculator'!K37*100),"")</f>
        <v>0</v>
      </c>
      <c r="J401">
        <f>IFERROR(IF(AND(ISNUMBER(E401),ISNUMBER(F401),E401&gt;0,F401&gt;0),SQRT(3)*'Bulk Calculator'!O37*'Bulk Calculator'!U37*((E401*'Bulk Calculator'!M37)+(F401*SQRT(1-'Bulk Calculator'!M37^2)))/'Bulk Calculator'!J37/'Bulk Calculator'!K37*100,D401*'Bulk Calculator'!U37*'Bulk Calculator'!O37/'Bulk Calculator'!J37/'Bulk Calculator'!K37*100),"")</f>
        <v>0</v>
      </c>
      <c r="K401">
        <f>IFERROR(G401*B401*'Bulk Calculator'!J37/SQRT('Bulk Calculator'!S37)/1000,"")</f>
        <v>59.155178344756941</v>
      </c>
      <c r="L401">
        <f>IF(OR('Bulk Calculator'!R37="",'Bulk Calculator'!S37="",G401=""),0,IF(K401&gt;='Bulk Calculator'!R37,1,0))</f>
        <v>1</v>
      </c>
      <c r="M401">
        <f>IF(AND(H401=1,I401&lt;='OS-DORAEN'!$B$6,J401&lt;='OS-DORAEN'!$B$5,L401=1),1,0)</f>
        <v>1</v>
      </c>
      <c r="N401" t="str">
        <f t="shared" si="6"/>
        <v>R/X</v>
      </c>
    </row>
    <row r="402" spans="1:14" ht="15" customHeight="1" x14ac:dyDescent="0.35">
      <c r="A402">
        <v>37</v>
      </c>
      <c r="B402">
        <v>150</v>
      </c>
      <c r="C402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Master'!$F:$F,B402),"")</f>
        <v>292</v>
      </c>
      <c r="D402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Master'!$F:$F,B402),"")</f>
        <v>0.26500000000000001</v>
      </c>
      <c r="E402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Master'!$F:$F,B402),"")</f>
        <v>0.26500000000000001</v>
      </c>
      <c r="F402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Master'!$F:$F,B402),"")</f>
        <v>7.1999999999999995E-2</v>
      </c>
      <c r="G402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Master'!$F:$F,B402),"")</f>
        <v>143</v>
      </c>
      <c r="H402">
        <f>IF(AND(ISNUMBER(C402),C402&gt;='Bulk Calculator'!U37/('Bulk Calculator'!J37*'Bulk Calculator'!L37)),1,0)</f>
        <v>1</v>
      </c>
      <c r="I402">
        <f>IFERROR(IF(AND(ISNUMBER(E402),ISNUMBER(F402),E402&gt;0,F402&gt;0),SQRT(3)*'Bulk Calculator'!O37*'Bulk Calculator'!AA37*((E402*'Bulk Calculator'!Q37)+(F402*SQRT(1-'Bulk Calculator'!Q37^2)))/'Bulk Calculator'!J37/'Bulk Calculator'!K37*100,D402*'Bulk Calculator'!AA37*'Bulk Calculator'!O37/'Bulk Calculator'!J37/'Bulk Calculator'!K37*100),"")</f>
        <v>0</v>
      </c>
      <c r="J402">
        <f>IFERROR(IF(AND(ISNUMBER(E402),ISNUMBER(F402),E402&gt;0,F402&gt;0),SQRT(3)*'Bulk Calculator'!O37*'Bulk Calculator'!U37*((E402*'Bulk Calculator'!M37)+(F402*SQRT(1-'Bulk Calculator'!M37^2)))/'Bulk Calculator'!J37/'Bulk Calculator'!K37*100,D402*'Bulk Calculator'!U37*'Bulk Calculator'!O37/'Bulk Calculator'!J37/'Bulk Calculator'!K37*100),"")</f>
        <v>0</v>
      </c>
      <c r="K402">
        <f>IFERROR(G402*B402*'Bulk Calculator'!J37/SQRT('Bulk Calculator'!S37)/1000,"")</f>
        <v>47.963658117370493</v>
      </c>
      <c r="L402">
        <f>IF(OR('Bulk Calculator'!R37="",'Bulk Calculator'!S37="",G402=""),0,IF(K402&gt;='Bulk Calculator'!R37,1,0))</f>
        <v>1</v>
      </c>
      <c r="M402">
        <f>IF(AND(H402=1,I402&lt;='OS-DORAEN'!$B$6,J402&lt;='OS-DORAEN'!$B$5,L402=1),1,0)</f>
        <v>1</v>
      </c>
      <c r="N402" t="str">
        <f t="shared" si="6"/>
        <v>R/X</v>
      </c>
    </row>
    <row r="403" spans="1:14" ht="15" customHeight="1" x14ac:dyDescent="0.35">
      <c r="A403">
        <v>37</v>
      </c>
      <c r="B403">
        <v>120</v>
      </c>
      <c r="C403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Master'!$F:$F,B403),"")</f>
        <v>257</v>
      </c>
      <c r="D403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Master'!$F:$F,B403),"")</f>
        <v>0.32500000000000001</v>
      </c>
      <c r="E403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Master'!$F:$F,B403),"")</f>
        <v>0.32500000000000001</v>
      </c>
      <c r="F403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Master'!$F:$F,B403),"")</f>
        <v>7.1999999999999995E-2</v>
      </c>
      <c r="G403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Master'!$F:$F,B403),"")</f>
        <v>143</v>
      </c>
      <c r="H403">
        <f>IF(AND(ISNUMBER(C403),C403&gt;='Bulk Calculator'!U37/('Bulk Calculator'!J37*'Bulk Calculator'!L37)),1,0)</f>
        <v>1</v>
      </c>
      <c r="I403">
        <f>IFERROR(IF(AND(ISNUMBER(E403),ISNUMBER(F403),E403&gt;0,F403&gt;0),SQRT(3)*'Bulk Calculator'!O37*'Bulk Calculator'!AA37*((E403*'Bulk Calculator'!Q37)+(F403*SQRT(1-'Bulk Calculator'!Q37^2)))/'Bulk Calculator'!J37/'Bulk Calculator'!K37*100,D403*'Bulk Calculator'!AA37*'Bulk Calculator'!O37/'Bulk Calculator'!J37/'Bulk Calculator'!K37*100),"")</f>
        <v>0</v>
      </c>
      <c r="J403">
        <f>IFERROR(IF(AND(ISNUMBER(E403),ISNUMBER(F403),E403&gt;0,F403&gt;0),SQRT(3)*'Bulk Calculator'!O37*'Bulk Calculator'!U37*((E403*'Bulk Calculator'!M37)+(F403*SQRT(1-'Bulk Calculator'!M37^2)))/'Bulk Calculator'!J37/'Bulk Calculator'!K37*100,D403*'Bulk Calculator'!U37*'Bulk Calculator'!O37/'Bulk Calculator'!J37/'Bulk Calculator'!K37*100),"")</f>
        <v>0</v>
      </c>
      <c r="K403">
        <f>IFERROR(G403*B403*'Bulk Calculator'!J37/SQRT('Bulk Calculator'!S37)/1000,"")</f>
        <v>38.370926493896391</v>
      </c>
      <c r="L403">
        <f>IF(OR('Bulk Calculator'!R37="",'Bulk Calculator'!S37="",G403=""),0,IF(K403&gt;='Bulk Calculator'!R37,1,0))</f>
        <v>1</v>
      </c>
      <c r="M403">
        <f>IF(AND(H403=1,I403&lt;='OS-DORAEN'!$B$6,J403&lt;='OS-DORAEN'!$B$5,L403=1),1,0)</f>
        <v>1</v>
      </c>
      <c r="N403" t="str">
        <f t="shared" si="6"/>
        <v>R/X</v>
      </c>
    </row>
    <row r="404" spans="1:14" ht="15" customHeight="1" x14ac:dyDescent="0.35">
      <c r="A404">
        <v>37</v>
      </c>
      <c r="B404">
        <v>95</v>
      </c>
      <c r="C404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Master'!$F:$F,B404),"")</f>
        <v>221</v>
      </c>
      <c r="D404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Master'!$F:$F,B404),"")</f>
        <v>0.41</v>
      </c>
      <c r="E404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Master'!$F:$F,B404),"")</f>
        <v>0.41</v>
      </c>
      <c r="F404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Master'!$F:$F,B404),"")</f>
        <v>7.3999999999999996E-2</v>
      </c>
      <c r="G404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Master'!$F:$F,B404),"")</f>
        <v>143</v>
      </c>
      <c r="H404">
        <f>IF(AND(ISNUMBER(C404),C404&gt;='Bulk Calculator'!U37/('Bulk Calculator'!J37*'Bulk Calculator'!L37)),1,0)</f>
        <v>1</v>
      </c>
      <c r="I404">
        <f>IFERROR(IF(AND(ISNUMBER(E404),ISNUMBER(F404),E404&gt;0,F404&gt;0),SQRT(3)*'Bulk Calculator'!O37*'Bulk Calculator'!AA37*((E404*'Bulk Calculator'!Q37)+(F404*SQRT(1-'Bulk Calculator'!Q37^2)))/'Bulk Calculator'!J37/'Bulk Calculator'!K37*100,D404*'Bulk Calculator'!AA37*'Bulk Calculator'!O37/'Bulk Calculator'!J37/'Bulk Calculator'!K37*100),"")</f>
        <v>0</v>
      </c>
      <c r="J404">
        <f>IFERROR(IF(AND(ISNUMBER(E404),ISNUMBER(F404),E404&gt;0,F404&gt;0),SQRT(3)*'Bulk Calculator'!O37*'Bulk Calculator'!U37*((E404*'Bulk Calculator'!M37)+(F404*SQRT(1-'Bulk Calculator'!M37^2)))/'Bulk Calculator'!J37/'Bulk Calculator'!K37*100,D404*'Bulk Calculator'!U37*'Bulk Calculator'!O37/'Bulk Calculator'!J37/'Bulk Calculator'!K37*100),"")</f>
        <v>0</v>
      </c>
      <c r="K404">
        <f>IFERROR(G404*B404*'Bulk Calculator'!J37/SQRT('Bulk Calculator'!S37)/1000,"")</f>
        <v>30.376983474334644</v>
      </c>
      <c r="L404">
        <f>IF(OR('Bulk Calculator'!R37="",'Bulk Calculator'!S37="",G404=""),0,IF(K404&gt;='Bulk Calculator'!R37,1,0))</f>
        <v>1</v>
      </c>
      <c r="M404">
        <f>IF(AND(H404=1,I404&lt;='OS-DORAEN'!$B$6,J404&lt;='OS-DORAEN'!$B$5,L404=1),1,0)</f>
        <v>1</v>
      </c>
      <c r="N404" t="str">
        <f t="shared" si="6"/>
        <v>R/X</v>
      </c>
    </row>
    <row r="405" spans="1:14" ht="15" customHeight="1" x14ac:dyDescent="0.35">
      <c r="A405">
        <v>37</v>
      </c>
      <c r="B405">
        <v>70</v>
      </c>
      <c r="C405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Master'!$F:$F,B405),"")</f>
        <v>179</v>
      </c>
      <c r="D405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Master'!$F:$F,B405),"")</f>
        <v>0.56699999999999995</v>
      </c>
      <c r="E405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Master'!$F:$F,B405),"")</f>
        <v>0.56699999999999995</v>
      </c>
      <c r="F405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Master'!$F:$F,B405),"")</f>
        <v>7.6999999999999999E-2</v>
      </c>
      <c r="G405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Master'!$F:$F,B405),"")</f>
        <v>143</v>
      </c>
      <c r="H405">
        <f>IF(AND(ISNUMBER(C405),C405&gt;='Bulk Calculator'!U37/('Bulk Calculator'!J37*'Bulk Calculator'!L37)),1,0)</f>
        <v>1</v>
      </c>
      <c r="I405">
        <f>IFERROR(IF(AND(ISNUMBER(E405),ISNUMBER(F405),E405&gt;0,F405&gt;0),SQRT(3)*'Bulk Calculator'!O37*'Bulk Calculator'!AA37*((E405*'Bulk Calculator'!Q37)+(F405*SQRT(1-'Bulk Calculator'!Q37^2)))/'Bulk Calculator'!J37/'Bulk Calculator'!K37*100,D405*'Bulk Calculator'!AA37*'Bulk Calculator'!O37/'Bulk Calculator'!J37/'Bulk Calculator'!K37*100),"")</f>
        <v>0</v>
      </c>
      <c r="J405">
        <f>IFERROR(IF(AND(ISNUMBER(E405),ISNUMBER(F405),E405&gt;0,F405&gt;0),SQRT(3)*'Bulk Calculator'!O37*'Bulk Calculator'!U37*((E405*'Bulk Calculator'!M37)+(F405*SQRT(1-'Bulk Calculator'!M37^2)))/'Bulk Calculator'!J37/'Bulk Calculator'!K37*100,D405*'Bulk Calculator'!U37*'Bulk Calculator'!O37/'Bulk Calculator'!J37/'Bulk Calculator'!K37*100),"")</f>
        <v>0</v>
      </c>
      <c r="K405">
        <f>IFERROR(G405*B405*'Bulk Calculator'!J37/SQRT('Bulk Calculator'!S37)/1000,"")</f>
        <v>22.383040454772893</v>
      </c>
      <c r="L405">
        <f>IF(OR('Bulk Calculator'!R37="",'Bulk Calculator'!S37="",G405=""),0,IF(K405&gt;='Bulk Calculator'!R37,1,0))</f>
        <v>1</v>
      </c>
      <c r="M405">
        <f>IF(AND(H405=1,I405&lt;='OS-DORAEN'!$B$6,J405&lt;='OS-DORAEN'!$B$5,L405=1),1,0)</f>
        <v>1</v>
      </c>
      <c r="N405" t="str">
        <f t="shared" si="6"/>
        <v>R/X</v>
      </c>
    </row>
    <row r="406" spans="1:14" ht="15" customHeight="1" x14ac:dyDescent="0.35">
      <c r="A406">
        <v>37</v>
      </c>
      <c r="B406">
        <v>50</v>
      </c>
      <c r="C406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Master'!$F:$F,B406),"")</f>
        <v>142</v>
      </c>
      <c r="D406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Master'!$F:$F,B406),"")</f>
        <v>0.82</v>
      </c>
      <c r="E406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Master'!$F:$F,B406),"")</f>
        <v>0.82</v>
      </c>
      <c r="F406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Master'!$F:$F,B406),"")</f>
        <v>7.8E-2</v>
      </c>
      <c r="G406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Master'!$F:$F,B406),"")</f>
        <v>143</v>
      </c>
      <c r="H406">
        <f>IF(AND(ISNUMBER(C406),C406&gt;='Bulk Calculator'!U37/('Bulk Calculator'!J37*'Bulk Calculator'!L37)),1,0)</f>
        <v>1</v>
      </c>
      <c r="I406">
        <f>IFERROR(IF(AND(ISNUMBER(E406),ISNUMBER(F406),E406&gt;0,F406&gt;0),SQRT(3)*'Bulk Calculator'!O37*'Bulk Calculator'!AA37*((E406*'Bulk Calculator'!Q37)+(F406*SQRT(1-'Bulk Calculator'!Q37^2)))/'Bulk Calculator'!J37/'Bulk Calculator'!K37*100,D406*'Bulk Calculator'!AA37*'Bulk Calculator'!O37/'Bulk Calculator'!J37/'Bulk Calculator'!K37*100),"")</f>
        <v>0</v>
      </c>
      <c r="J406">
        <f>IFERROR(IF(AND(ISNUMBER(E406),ISNUMBER(F406),E406&gt;0,F406&gt;0),SQRT(3)*'Bulk Calculator'!O37*'Bulk Calculator'!U37*((E406*'Bulk Calculator'!M37)+(F406*SQRT(1-'Bulk Calculator'!M37^2)))/'Bulk Calculator'!J37/'Bulk Calculator'!K37*100,D406*'Bulk Calculator'!U37*'Bulk Calculator'!O37/'Bulk Calculator'!J37/'Bulk Calculator'!K37*100),"")</f>
        <v>0</v>
      </c>
      <c r="K406">
        <f>IFERROR(G406*B406*'Bulk Calculator'!J37/SQRT('Bulk Calculator'!S37)/1000,"")</f>
        <v>15.987886039123497</v>
      </c>
      <c r="L406">
        <f>IF(OR('Bulk Calculator'!R37="",'Bulk Calculator'!S37="",G406=""),0,IF(K406&gt;='Bulk Calculator'!R37,1,0))</f>
        <v>1</v>
      </c>
      <c r="M406">
        <f>IF(AND(H406=1,I406&lt;='OS-DORAEN'!$B$6,J406&lt;='OS-DORAEN'!$B$5,L406=1),1,0)</f>
        <v>1</v>
      </c>
      <c r="N406" t="str">
        <f t="shared" si="6"/>
        <v>R/X</v>
      </c>
    </row>
    <row r="407" spans="1:14" ht="15" customHeight="1" x14ac:dyDescent="0.35">
      <c r="A407">
        <v>37</v>
      </c>
      <c r="B407">
        <v>35</v>
      </c>
      <c r="C407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Master'!$F:$F,B407),"")</f>
        <v>117</v>
      </c>
      <c r="D407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Master'!$F:$F,B407),"")</f>
        <v>1.1100000000000001</v>
      </c>
      <c r="E407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Master'!$F:$F,B407),"")</f>
        <v>1.1100000000000001</v>
      </c>
      <c r="F407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Master'!$F:$F,B407),"")</f>
        <v>0.08</v>
      </c>
      <c r="G407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Master'!$F:$F,B407),"")</f>
        <v>143</v>
      </c>
      <c r="H407">
        <f>IF(AND(ISNUMBER(C407),C407&gt;='Bulk Calculator'!U37/('Bulk Calculator'!J37*'Bulk Calculator'!L37)),1,0)</f>
        <v>1</v>
      </c>
      <c r="I407">
        <f>IFERROR(IF(AND(ISNUMBER(E407),ISNUMBER(F407),E407&gt;0,F407&gt;0),SQRT(3)*'Bulk Calculator'!O37*'Bulk Calculator'!AA37*((E407*'Bulk Calculator'!Q37)+(F407*SQRT(1-'Bulk Calculator'!Q37^2)))/'Bulk Calculator'!J37/'Bulk Calculator'!K37*100,D407*'Bulk Calculator'!AA37*'Bulk Calculator'!O37/'Bulk Calculator'!J37/'Bulk Calculator'!K37*100),"")</f>
        <v>0</v>
      </c>
      <c r="J407">
        <f>IFERROR(IF(AND(ISNUMBER(E407),ISNUMBER(F407),E407&gt;0,F407&gt;0),SQRT(3)*'Bulk Calculator'!O37*'Bulk Calculator'!U37*((E407*'Bulk Calculator'!M37)+(F407*SQRT(1-'Bulk Calculator'!M37^2)))/'Bulk Calculator'!J37/'Bulk Calculator'!K37*100,D407*'Bulk Calculator'!U37*'Bulk Calculator'!O37/'Bulk Calculator'!J37/'Bulk Calculator'!K37*100),"")</f>
        <v>0</v>
      </c>
      <c r="K407">
        <f>IFERROR(G407*B407*'Bulk Calculator'!J37/SQRT('Bulk Calculator'!S37)/1000,"")</f>
        <v>11.191520227386446</v>
      </c>
      <c r="L407">
        <f>IF(OR('Bulk Calculator'!R37="",'Bulk Calculator'!S37="",G407=""),0,IF(K407&gt;='Bulk Calculator'!R37,1,0))</f>
        <v>1</v>
      </c>
      <c r="M407">
        <f>IF(AND(H407=1,I407&lt;='OS-DORAEN'!$B$6,J407&lt;='OS-DORAEN'!$B$5,L407=1),1,0)</f>
        <v>1</v>
      </c>
      <c r="N407" t="str">
        <f t="shared" si="6"/>
        <v>R/X</v>
      </c>
    </row>
    <row r="408" spans="1:14" ht="15" customHeight="1" x14ac:dyDescent="0.35">
      <c r="A408">
        <v>37</v>
      </c>
      <c r="B408">
        <v>25</v>
      </c>
      <c r="C408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Master'!$F:$F,B408),"")</f>
        <v>96</v>
      </c>
      <c r="D408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Master'!$F:$F,B408),"")</f>
        <v>1.54</v>
      </c>
      <c r="E408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Master'!$F:$F,B408),"")</f>
        <v>1.54</v>
      </c>
      <c r="F408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Master'!$F:$F,B408),"")</f>
        <v>0.08</v>
      </c>
      <c r="G408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Master'!$F:$F,B408),"")</f>
        <v>143</v>
      </c>
      <c r="H408">
        <f>IF(AND(ISNUMBER(C408),C408&gt;='Bulk Calculator'!U37/('Bulk Calculator'!J37*'Bulk Calculator'!L37)),1,0)</f>
        <v>1</v>
      </c>
      <c r="I408">
        <f>IFERROR(IF(AND(ISNUMBER(E408),ISNUMBER(F408),E408&gt;0,F408&gt;0),SQRT(3)*'Bulk Calculator'!O37*'Bulk Calculator'!AA37*((E408*'Bulk Calculator'!Q37)+(F408*SQRT(1-'Bulk Calculator'!Q37^2)))/'Bulk Calculator'!J37/'Bulk Calculator'!K37*100,D408*'Bulk Calculator'!AA37*'Bulk Calculator'!O37/'Bulk Calculator'!J37/'Bulk Calculator'!K37*100),"")</f>
        <v>0</v>
      </c>
      <c r="J408">
        <f>IFERROR(IF(AND(ISNUMBER(E408),ISNUMBER(F408),E408&gt;0,F408&gt;0),SQRT(3)*'Bulk Calculator'!O37*'Bulk Calculator'!U37*((E408*'Bulk Calculator'!M37)+(F408*SQRT(1-'Bulk Calculator'!M37^2)))/'Bulk Calculator'!J37/'Bulk Calculator'!K37*100,D408*'Bulk Calculator'!U37*'Bulk Calculator'!O37/'Bulk Calculator'!J37/'Bulk Calculator'!K37*100),"")</f>
        <v>0</v>
      </c>
      <c r="K408">
        <f>IFERROR(G408*B408*'Bulk Calculator'!J37/SQRT('Bulk Calculator'!S37)/1000,"")</f>
        <v>7.9939430195617485</v>
      </c>
      <c r="L408">
        <f>IF(OR('Bulk Calculator'!R37="",'Bulk Calculator'!S37="",G408=""),0,IF(K408&gt;='Bulk Calculator'!R37,1,0))</f>
        <v>1</v>
      </c>
      <c r="M408">
        <f>IF(AND(H408=1,I408&lt;='OS-DORAEN'!$B$6,J408&lt;='OS-DORAEN'!$B$5,L408=1),1,0)</f>
        <v>1</v>
      </c>
      <c r="N408" t="str">
        <f t="shared" si="6"/>
        <v>R/X</v>
      </c>
    </row>
    <row r="409" spans="1:14" ht="15" customHeight="1" x14ac:dyDescent="0.35">
      <c r="A409">
        <v>37</v>
      </c>
      <c r="B409">
        <v>16</v>
      </c>
      <c r="C409">
        <f>IFERROR(SUMIFS('Cable Data Master'!$G:$G,'Cable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Master'!$F:$F,B409),"")</f>
        <v>0</v>
      </c>
      <c r="D409">
        <f>IFERROR(SUMIFS('Cable Data Master'!$K:$K,'Cable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Master'!$F:$F,B409),"")</f>
        <v>0</v>
      </c>
      <c r="E409">
        <f>IFERROR(SUMIFS('Cable Data Master'!$H:$H,'Cable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Master'!$F:$F,B409),"")</f>
        <v>0</v>
      </c>
      <c r="F409">
        <f>IFERROR(SUMIFS('Cable Data Master'!$I:$I,'Cable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Master'!$F:$F,B409),"")</f>
        <v>0</v>
      </c>
      <c r="G409">
        <f>IFERROR(SUMIFS('Cable Data Master'!$J:$J,'Cable Data Master'!$A:$A,'Bulk Calculator'!$BF37,'Cable Data Master'!$B:$B,'Bulk Calculator'!$BG37,'Cable Data Master'!$C:$C,'Bulk Calculator'!$BH37,'Cable Data Master'!$D:$D,'Bulk Calculator'!$BI37,'Cable Data Master'!$E:$E,'Bulk Calculator'!$BJ37,'Cable Data Master'!$F:$F,B409),"")</f>
        <v>0</v>
      </c>
      <c r="H409">
        <f>IF(AND(ISNUMBER(C409),C409&gt;='Bulk Calculator'!U37/('Bulk Calculator'!J37*'Bulk Calculator'!L37)),1,0)</f>
        <v>1</v>
      </c>
      <c r="I409">
        <f>IFERROR(IF(AND(ISNUMBER(E409),ISNUMBER(F409),E409&gt;0,F409&gt;0),SQRT(3)*'Bulk Calculator'!O37*'Bulk Calculator'!AA37*((E409*'Bulk Calculator'!Q37)+(F409*SQRT(1-'Bulk Calculator'!Q37^2)))/'Bulk Calculator'!J37/'Bulk Calculator'!K37*100,D409*'Bulk Calculator'!AA37*'Bulk Calculator'!O37/'Bulk Calculator'!J37/'Bulk Calculator'!K37*100),"")</f>
        <v>0</v>
      </c>
      <c r="J409">
        <f>IFERROR(IF(AND(ISNUMBER(E409),ISNUMBER(F409),E409&gt;0,F409&gt;0),SQRT(3)*'Bulk Calculator'!O37*'Bulk Calculator'!U37*((E409*'Bulk Calculator'!M37)+(F409*SQRT(1-'Bulk Calculator'!M37^2)))/'Bulk Calculator'!J37/'Bulk Calculator'!K37*100,D409*'Bulk Calculator'!U37*'Bulk Calculator'!O37/'Bulk Calculator'!J37/'Bulk Calculator'!K37*100),"")</f>
        <v>0</v>
      </c>
      <c r="K409">
        <f>IFERROR(G409*B409*'Bulk Calculator'!J37/SQRT('Bulk Calculator'!S37)/1000,"")</f>
        <v>0</v>
      </c>
      <c r="L409">
        <f>IF(OR('Bulk Calculator'!R37="",'Bulk Calculator'!S37="",G409=""),0,IF(K409&gt;='Bulk Calculator'!R37,1,0))</f>
        <v>1</v>
      </c>
      <c r="M409">
        <f>IF(AND(H409=1,I409&lt;='OS-DORAEN'!$B$6,J409&lt;='OS-DORAEN'!$B$5,L409=1),1,0)</f>
        <v>1</v>
      </c>
      <c r="N409" t="str">
        <f t="shared" si="6"/>
        <v>Manufacturer VD Ref</v>
      </c>
    </row>
    <row r="410" spans="1:14" ht="15" customHeight="1" x14ac:dyDescent="0.35">
      <c r="A410">
        <v>38</v>
      </c>
      <c r="B410">
        <v>400</v>
      </c>
      <c r="C410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Master'!$F:$F,B410),"")</f>
        <v>530</v>
      </c>
      <c r="D410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Master'!$F:$F,B410),"")</f>
        <v>0.1023</v>
      </c>
      <c r="E410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Master'!$F:$F,B410),"")</f>
        <v>0.1023</v>
      </c>
      <c r="F410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Master'!$F:$F,B410),"")</f>
        <v>7.0000000000000007E-2</v>
      </c>
      <c r="G410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Master'!$F:$F,B410),"")</f>
        <v>143</v>
      </c>
      <c r="H410">
        <f>IF(AND(ISNUMBER(C410),C410&gt;='Bulk Calculator'!U38/('Bulk Calculator'!J38*'Bulk Calculator'!L38)),1,0)</f>
        <v>1</v>
      </c>
      <c r="I410">
        <f>IFERROR(IF(AND(ISNUMBER(E410),ISNUMBER(F410),E410&gt;0,F410&gt;0),SQRT(3)*'Bulk Calculator'!O38*'Bulk Calculator'!AA38*((E410*'Bulk Calculator'!Q38)+(F410*SQRT(1-'Bulk Calculator'!Q38^2)))/'Bulk Calculator'!J38/'Bulk Calculator'!K38*100,D410*'Bulk Calculator'!AA38*'Bulk Calculator'!O38/'Bulk Calculator'!J38/'Bulk Calculator'!K38*100),"")</f>
        <v>0</v>
      </c>
      <c r="J410">
        <f>IFERROR(IF(AND(ISNUMBER(E410),ISNUMBER(F410),E410&gt;0,F410&gt;0),SQRT(3)*'Bulk Calculator'!O38*'Bulk Calculator'!U38*((E410*'Bulk Calculator'!M38)+(F410*SQRT(1-'Bulk Calculator'!M38^2)))/'Bulk Calculator'!J38/'Bulk Calculator'!K38*100,D410*'Bulk Calculator'!U38*'Bulk Calculator'!O38/'Bulk Calculator'!J38/'Bulk Calculator'!K38*100),"")</f>
        <v>0</v>
      </c>
      <c r="K410">
        <f>IFERROR(G410*B410*'Bulk Calculator'!J38/SQRT('Bulk Calculator'!S38)/1000,"")</f>
        <v>127.90308831298798</v>
      </c>
      <c r="L410">
        <f>IF(OR('Bulk Calculator'!R38="",'Bulk Calculator'!S38="",G410=""),0,IF(K410&gt;='Bulk Calculator'!R38,1,0))</f>
        <v>1</v>
      </c>
      <c r="M410">
        <f>IF(AND(H410=1,I410&lt;='OS-DORAEN'!$B$6,J410&lt;='OS-DORAEN'!$B$5,L410=1),1,0)</f>
        <v>1</v>
      </c>
      <c r="N410" t="str">
        <f t="shared" si="6"/>
        <v>R/X</v>
      </c>
    </row>
    <row r="411" spans="1:14" ht="15" customHeight="1" x14ac:dyDescent="0.35">
      <c r="A411">
        <v>38</v>
      </c>
      <c r="B411">
        <v>300</v>
      </c>
      <c r="C411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Master'!$F:$F,B411),"")</f>
        <v>455</v>
      </c>
      <c r="D411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Master'!$F:$F,B411),"")</f>
        <v>0.13</v>
      </c>
      <c r="E411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Master'!$F:$F,B411),"")</f>
        <v>0.13</v>
      </c>
      <c r="F411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Master'!$F:$F,B411),"")</f>
        <v>7.0999999999999994E-2</v>
      </c>
      <c r="G411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Master'!$F:$F,B411),"")</f>
        <v>143</v>
      </c>
      <c r="H411">
        <f>IF(AND(ISNUMBER(C411),C411&gt;='Bulk Calculator'!U38/('Bulk Calculator'!J38*'Bulk Calculator'!L38)),1,0)</f>
        <v>1</v>
      </c>
      <c r="I411">
        <f>IFERROR(IF(AND(ISNUMBER(E411),ISNUMBER(F411),E411&gt;0,F411&gt;0),SQRT(3)*'Bulk Calculator'!O38*'Bulk Calculator'!AA38*((E411*'Bulk Calculator'!Q38)+(F411*SQRT(1-'Bulk Calculator'!Q38^2)))/'Bulk Calculator'!J38/'Bulk Calculator'!K38*100,D411*'Bulk Calculator'!AA38*'Bulk Calculator'!O38/'Bulk Calculator'!J38/'Bulk Calculator'!K38*100),"")</f>
        <v>0</v>
      </c>
      <c r="J411">
        <f>IFERROR(IF(AND(ISNUMBER(E411),ISNUMBER(F411),E411&gt;0,F411&gt;0),SQRT(3)*'Bulk Calculator'!O38*'Bulk Calculator'!U38*((E411*'Bulk Calculator'!M38)+(F411*SQRT(1-'Bulk Calculator'!M38^2)))/'Bulk Calculator'!J38/'Bulk Calculator'!K38*100,D411*'Bulk Calculator'!U38*'Bulk Calculator'!O38/'Bulk Calculator'!J38/'Bulk Calculator'!K38*100),"")</f>
        <v>0</v>
      </c>
      <c r="K411">
        <f>IFERROR(G411*B411*'Bulk Calculator'!J38/SQRT('Bulk Calculator'!S38)/1000,"")</f>
        <v>95.927316234740985</v>
      </c>
      <c r="L411">
        <f>IF(OR('Bulk Calculator'!R38="",'Bulk Calculator'!S38="",G411=""),0,IF(K411&gt;='Bulk Calculator'!R38,1,0))</f>
        <v>1</v>
      </c>
      <c r="M411">
        <f>IF(AND(H411=1,I411&lt;='OS-DORAEN'!$B$6,J411&lt;='OS-DORAEN'!$B$5,L411=1),1,0)</f>
        <v>1</v>
      </c>
      <c r="N411" t="str">
        <f t="shared" si="6"/>
        <v>R/X</v>
      </c>
    </row>
    <row r="412" spans="1:14" ht="15" customHeight="1" x14ac:dyDescent="0.35">
      <c r="A412">
        <v>38</v>
      </c>
      <c r="B412">
        <v>240</v>
      </c>
      <c r="C412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Master'!$F:$F,B412),"")</f>
        <v>399</v>
      </c>
      <c r="D412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Master'!$F:$F,B412),"")</f>
        <v>0.16200000000000001</v>
      </c>
      <c r="E412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Master'!$F:$F,B412),"")</f>
        <v>0.16200000000000001</v>
      </c>
      <c r="F412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Master'!$F:$F,B412),"")</f>
        <v>7.1999999999999995E-2</v>
      </c>
      <c r="G412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Master'!$F:$F,B412),"")</f>
        <v>143</v>
      </c>
      <c r="H412">
        <f>IF(AND(ISNUMBER(C412),C412&gt;='Bulk Calculator'!U38/('Bulk Calculator'!J38*'Bulk Calculator'!L38)),1,0)</f>
        <v>1</v>
      </c>
      <c r="I412">
        <f>IFERROR(IF(AND(ISNUMBER(E412),ISNUMBER(F412),E412&gt;0,F412&gt;0),SQRT(3)*'Bulk Calculator'!O38*'Bulk Calculator'!AA38*((E412*'Bulk Calculator'!Q38)+(F412*SQRT(1-'Bulk Calculator'!Q38^2)))/'Bulk Calculator'!J38/'Bulk Calculator'!K38*100,D412*'Bulk Calculator'!AA38*'Bulk Calculator'!O38/'Bulk Calculator'!J38/'Bulk Calculator'!K38*100),"")</f>
        <v>0</v>
      </c>
      <c r="J412">
        <f>IFERROR(IF(AND(ISNUMBER(E412),ISNUMBER(F412),E412&gt;0,F412&gt;0),SQRT(3)*'Bulk Calculator'!O38*'Bulk Calculator'!U38*((E412*'Bulk Calculator'!M38)+(F412*SQRT(1-'Bulk Calculator'!M38^2)))/'Bulk Calculator'!J38/'Bulk Calculator'!K38*100,D412*'Bulk Calculator'!U38*'Bulk Calculator'!O38/'Bulk Calculator'!J38/'Bulk Calculator'!K38*100),"")</f>
        <v>0</v>
      </c>
      <c r="K412">
        <f>IFERROR(G412*B412*'Bulk Calculator'!J38/SQRT('Bulk Calculator'!S38)/1000,"")</f>
        <v>76.741852987792782</v>
      </c>
      <c r="L412">
        <f>IF(OR('Bulk Calculator'!R38="",'Bulk Calculator'!S38="",G412=""),0,IF(K412&gt;='Bulk Calculator'!R38,1,0))</f>
        <v>1</v>
      </c>
      <c r="M412">
        <f>IF(AND(H412=1,I412&lt;='OS-DORAEN'!$B$6,J412&lt;='OS-DORAEN'!$B$5,L412=1),1,0)</f>
        <v>1</v>
      </c>
      <c r="N412" t="str">
        <f t="shared" si="6"/>
        <v>R/X</v>
      </c>
    </row>
    <row r="413" spans="1:14" ht="15" customHeight="1" x14ac:dyDescent="0.35">
      <c r="A413">
        <v>38</v>
      </c>
      <c r="B413">
        <v>185</v>
      </c>
      <c r="C413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Master'!$F:$F,B413),"")</f>
        <v>337</v>
      </c>
      <c r="D413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Master'!$F:$F,B413),"")</f>
        <v>0.21099999999999999</v>
      </c>
      <c r="E413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Master'!$F:$F,B413),"")</f>
        <v>0.21099999999999999</v>
      </c>
      <c r="F413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Master'!$F:$F,B413),"")</f>
        <v>7.1999999999999995E-2</v>
      </c>
      <c r="G413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Master'!$F:$F,B413),"")</f>
        <v>143</v>
      </c>
      <c r="H413">
        <f>IF(AND(ISNUMBER(C413),C413&gt;='Bulk Calculator'!U38/('Bulk Calculator'!J38*'Bulk Calculator'!L38)),1,0)</f>
        <v>1</v>
      </c>
      <c r="I413">
        <f>IFERROR(IF(AND(ISNUMBER(E413),ISNUMBER(F413),E413&gt;0,F413&gt;0),SQRT(3)*'Bulk Calculator'!O38*'Bulk Calculator'!AA38*((E413*'Bulk Calculator'!Q38)+(F413*SQRT(1-'Bulk Calculator'!Q38^2)))/'Bulk Calculator'!J38/'Bulk Calculator'!K38*100,D413*'Bulk Calculator'!AA38*'Bulk Calculator'!O38/'Bulk Calculator'!J38/'Bulk Calculator'!K38*100),"")</f>
        <v>0</v>
      </c>
      <c r="J413">
        <f>IFERROR(IF(AND(ISNUMBER(E413),ISNUMBER(F413),E413&gt;0,F413&gt;0),SQRT(3)*'Bulk Calculator'!O38*'Bulk Calculator'!U38*((E413*'Bulk Calculator'!M38)+(F413*SQRT(1-'Bulk Calculator'!M38^2)))/'Bulk Calculator'!J38/'Bulk Calculator'!K38*100,D413*'Bulk Calculator'!U38*'Bulk Calculator'!O38/'Bulk Calculator'!J38/'Bulk Calculator'!K38*100),"")</f>
        <v>0</v>
      </c>
      <c r="K413">
        <f>IFERROR(G413*B413*'Bulk Calculator'!J38/SQRT('Bulk Calculator'!S38)/1000,"")</f>
        <v>59.155178344756941</v>
      </c>
      <c r="L413">
        <f>IF(OR('Bulk Calculator'!R38="",'Bulk Calculator'!S38="",G413=""),0,IF(K413&gt;='Bulk Calculator'!R38,1,0))</f>
        <v>1</v>
      </c>
      <c r="M413">
        <f>IF(AND(H413=1,I413&lt;='OS-DORAEN'!$B$6,J413&lt;='OS-DORAEN'!$B$5,L413=1),1,0)</f>
        <v>1</v>
      </c>
      <c r="N413" t="str">
        <f t="shared" si="6"/>
        <v>R/X</v>
      </c>
    </row>
    <row r="414" spans="1:14" ht="15" customHeight="1" x14ac:dyDescent="0.35">
      <c r="A414">
        <v>38</v>
      </c>
      <c r="B414">
        <v>150</v>
      </c>
      <c r="C414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Master'!$F:$F,B414),"")</f>
        <v>292</v>
      </c>
      <c r="D414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Master'!$F:$F,B414),"")</f>
        <v>0.26500000000000001</v>
      </c>
      <c r="E414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Master'!$F:$F,B414),"")</f>
        <v>0.26500000000000001</v>
      </c>
      <c r="F414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Master'!$F:$F,B414),"")</f>
        <v>7.1999999999999995E-2</v>
      </c>
      <c r="G414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Master'!$F:$F,B414),"")</f>
        <v>143</v>
      </c>
      <c r="H414">
        <f>IF(AND(ISNUMBER(C414),C414&gt;='Bulk Calculator'!U38/('Bulk Calculator'!J38*'Bulk Calculator'!L38)),1,0)</f>
        <v>1</v>
      </c>
      <c r="I414">
        <f>IFERROR(IF(AND(ISNUMBER(E414),ISNUMBER(F414),E414&gt;0,F414&gt;0),SQRT(3)*'Bulk Calculator'!O38*'Bulk Calculator'!AA38*((E414*'Bulk Calculator'!Q38)+(F414*SQRT(1-'Bulk Calculator'!Q38^2)))/'Bulk Calculator'!J38/'Bulk Calculator'!K38*100,D414*'Bulk Calculator'!AA38*'Bulk Calculator'!O38/'Bulk Calculator'!J38/'Bulk Calculator'!K38*100),"")</f>
        <v>0</v>
      </c>
      <c r="J414">
        <f>IFERROR(IF(AND(ISNUMBER(E414),ISNUMBER(F414),E414&gt;0,F414&gt;0),SQRT(3)*'Bulk Calculator'!O38*'Bulk Calculator'!U38*((E414*'Bulk Calculator'!M38)+(F414*SQRT(1-'Bulk Calculator'!M38^2)))/'Bulk Calculator'!J38/'Bulk Calculator'!K38*100,D414*'Bulk Calculator'!U38*'Bulk Calculator'!O38/'Bulk Calculator'!J38/'Bulk Calculator'!K38*100),"")</f>
        <v>0</v>
      </c>
      <c r="K414">
        <f>IFERROR(G414*B414*'Bulk Calculator'!J38/SQRT('Bulk Calculator'!S38)/1000,"")</f>
        <v>47.963658117370493</v>
      </c>
      <c r="L414">
        <f>IF(OR('Bulk Calculator'!R38="",'Bulk Calculator'!S38="",G414=""),0,IF(K414&gt;='Bulk Calculator'!R38,1,0))</f>
        <v>1</v>
      </c>
      <c r="M414">
        <f>IF(AND(H414=1,I414&lt;='OS-DORAEN'!$B$6,J414&lt;='OS-DORAEN'!$B$5,L414=1),1,0)</f>
        <v>1</v>
      </c>
      <c r="N414" t="str">
        <f t="shared" si="6"/>
        <v>R/X</v>
      </c>
    </row>
    <row r="415" spans="1:14" ht="15" customHeight="1" x14ac:dyDescent="0.35">
      <c r="A415">
        <v>38</v>
      </c>
      <c r="B415">
        <v>120</v>
      </c>
      <c r="C415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Master'!$F:$F,B415),"")</f>
        <v>257</v>
      </c>
      <c r="D415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Master'!$F:$F,B415),"")</f>
        <v>0.32500000000000001</v>
      </c>
      <c r="E415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Master'!$F:$F,B415),"")</f>
        <v>0.32500000000000001</v>
      </c>
      <c r="F415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Master'!$F:$F,B415),"")</f>
        <v>7.1999999999999995E-2</v>
      </c>
      <c r="G415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Master'!$F:$F,B415),"")</f>
        <v>143</v>
      </c>
      <c r="H415">
        <f>IF(AND(ISNUMBER(C415),C415&gt;='Bulk Calculator'!U38/('Bulk Calculator'!J38*'Bulk Calculator'!L38)),1,0)</f>
        <v>1</v>
      </c>
      <c r="I415">
        <f>IFERROR(IF(AND(ISNUMBER(E415),ISNUMBER(F415),E415&gt;0,F415&gt;0),SQRT(3)*'Bulk Calculator'!O38*'Bulk Calculator'!AA38*((E415*'Bulk Calculator'!Q38)+(F415*SQRT(1-'Bulk Calculator'!Q38^2)))/'Bulk Calculator'!J38/'Bulk Calculator'!K38*100,D415*'Bulk Calculator'!AA38*'Bulk Calculator'!O38/'Bulk Calculator'!J38/'Bulk Calculator'!K38*100),"")</f>
        <v>0</v>
      </c>
      <c r="J415">
        <f>IFERROR(IF(AND(ISNUMBER(E415),ISNUMBER(F415),E415&gt;0,F415&gt;0),SQRT(3)*'Bulk Calculator'!O38*'Bulk Calculator'!U38*((E415*'Bulk Calculator'!M38)+(F415*SQRT(1-'Bulk Calculator'!M38^2)))/'Bulk Calculator'!J38/'Bulk Calculator'!K38*100,D415*'Bulk Calculator'!U38*'Bulk Calculator'!O38/'Bulk Calculator'!J38/'Bulk Calculator'!K38*100),"")</f>
        <v>0</v>
      </c>
      <c r="K415">
        <f>IFERROR(G415*B415*'Bulk Calculator'!J38/SQRT('Bulk Calculator'!S38)/1000,"")</f>
        <v>38.370926493896391</v>
      </c>
      <c r="L415">
        <f>IF(OR('Bulk Calculator'!R38="",'Bulk Calculator'!S38="",G415=""),0,IF(K415&gt;='Bulk Calculator'!R38,1,0))</f>
        <v>1</v>
      </c>
      <c r="M415">
        <f>IF(AND(H415=1,I415&lt;='OS-DORAEN'!$B$6,J415&lt;='OS-DORAEN'!$B$5,L415=1),1,0)</f>
        <v>1</v>
      </c>
      <c r="N415" t="str">
        <f t="shared" si="6"/>
        <v>R/X</v>
      </c>
    </row>
    <row r="416" spans="1:14" ht="15" customHeight="1" x14ac:dyDescent="0.35">
      <c r="A416">
        <v>38</v>
      </c>
      <c r="B416">
        <v>95</v>
      </c>
      <c r="C416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Master'!$F:$F,B416),"")</f>
        <v>221</v>
      </c>
      <c r="D416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Master'!$F:$F,B416),"")</f>
        <v>0.41</v>
      </c>
      <c r="E416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Master'!$F:$F,B416),"")</f>
        <v>0.41</v>
      </c>
      <c r="F416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Master'!$F:$F,B416),"")</f>
        <v>7.3999999999999996E-2</v>
      </c>
      <c r="G416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Master'!$F:$F,B416),"")</f>
        <v>143</v>
      </c>
      <c r="H416">
        <f>IF(AND(ISNUMBER(C416),C416&gt;='Bulk Calculator'!U38/('Bulk Calculator'!J38*'Bulk Calculator'!L38)),1,0)</f>
        <v>1</v>
      </c>
      <c r="I416">
        <f>IFERROR(IF(AND(ISNUMBER(E416),ISNUMBER(F416),E416&gt;0,F416&gt;0),SQRT(3)*'Bulk Calculator'!O38*'Bulk Calculator'!AA38*((E416*'Bulk Calculator'!Q38)+(F416*SQRT(1-'Bulk Calculator'!Q38^2)))/'Bulk Calculator'!J38/'Bulk Calculator'!K38*100,D416*'Bulk Calculator'!AA38*'Bulk Calculator'!O38/'Bulk Calculator'!J38/'Bulk Calculator'!K38*100),"")</f>
        <v>0</v>
      </c>
      <c r="J416">
        <f>IFERROR(IF(AND(ISNUMBER(E416),ISNUMBER(F416),E416&gt;0,F416&gt;0),SQRT(3)*'Bulk Calculator'!O38*'Bulk Calculator'!U38*((E416*'Bulk Calculator'!M38)+(F416*SQRT(1-'Bulk Calculator'!M38^2)))/'Bulk Calculator'!J38/'Bulk Calculator'!K38*100,D416*'Bulk Calculator'!U38*'Bulk Calculator'!O38/'Bulk Calculator'!J38/'Bulk Calculator'!K38*100),"")</f>
        <v>0</v>
      </c>
      <c r="K416">
        <f>IFERROR(G416*B416*'Bulk Calculator'!J38/SQRT('Bulk Calculator'!S38)/1000,"")</f>
        <v>30.376983474334644</v>
      </c>
      <c r="L416">
        <f>IF(OR('Bulk Calculator'!R38="",'Bulk Calculator'!S38="",G416=""),0,IF(K416&gt;='Bulk Calculator'!R38,1,0))</f>
        <v>1</v>
      </c>
      <c r="M416">
        <f>IF(AND(H416=1,I416&lt;='OS-DORAEN'!$B$6,J416&lt;='OS-DORAEN'!$B$5,L416=1),1,0)</f>
        <v>1</v>
      </c>
      <c r="N416" t="str">
        <f t="shared" si="6"/>
        <v>R/X</v>
      </c>
    </row>
    <row r="417" spans="1:14" ht="15" customHeight="1" x14ac:dyDescent="0.35">
      <c r="A417">
        <v>38</v>
      </c>
      <c r="B417">
        <v>70</v>
      </c>
      <c r="C417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Master'!$F:$F,B417),"")</f>
        <v>179</v>
      </c>
      <c r="D417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Master'!$F:$F,B417),"")</f>
        <v>0.56699999999999995</v>
      </c>
      <c r="E417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Master'!$F:$F,B417),"")</f>
        <v>0.56699999999999995</v>
      </c>
      <c r="F417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Master'!$F:$F,B417),"")</f>
        <v>7.6999999999999999E-2</v>
      </c>
      <c r="G417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Master'!$F:$F,B417),"")</f>
        <v>143</v>
      </c>
      <c r="H417">
        <f>IF(AND(ISNUMBER(C417),C417&gt;='Bulk Calculator'!U38/('Bulk Calculator'!J38*'Bulk Calculator'!L38)),1,0)</f>
        <v>1</v>
      </c>
      <c r="I417">
        <f>IFERROR(IF(AND(ISNUMBER(E417),ISNUMBER(F417),E417&gt;0,F417&gt;0),SQRT(3)*'Bulk Calculator'!O38*'Bulk Calculator'!AA38*((E417*'Bulk Calculator'!Q38)+(F417*SQRT(1-'Bulk Calculator'!Q38^2)))/'Bulk Calculator'!J38/'Bulk Calculator'!K38*100,D417*'Bulk Calculator'!AA38*'Bulk Calculator'!O38/'Bulk Calculator'!J38/'Bulk Calculator'!K38*100),"")</f>
        <v>0</v>
      </c>
      <c r="J417">
        <f>IFERROR(IF(AND(ISNUMBER(E417),ISNUMBER(F417),E417&gt;0,F417&gt;0),SQRT(3)*'Bulk Calculator'!O38*'Bulk Calculator'!U38*((E417*'Bulk Calculator'!M38)+(F417*SQRT(1-'Bulk Calculator'!M38^2)))/'Bulk Calculator'!J38/'Bulk Calculator'!K38*100,D417*'Bulk Calculator'!U38*'Bulk Calculator'!O38/'Bulk Calculator'!J38/'Bulk Calculator'!K38*100),"")</f>
        <v>0</v>
      </c>
      <c r="K417">
        <f>IFERROR(G417*B417*'Bulk Calculator'!J38/SQRT('Bulk Calculator'!S38)/1000,"")</f>
        <v>22.383040454772893</v>
      </c>
      <c r="L417">
        <f>IF(OR('Bulk Calculator'!R38="",'Bulk Calculator'!S38="",G417=""),0,IF(K417&gt;='Bulk Calculator'!R38,1,0))</f>
        <v>1</v>
      </c>
      <c r="M417">
        <f>IF(AND(H417=1,I417&lt;='OS-DORAEN'!$B$6,J417&lt;='OS-DORAEN'!$B$5,L417=1),1,0)</f>
        <v>1</v>
      </c>
      <c r="N417" t="str">
        <f t="shared" si="6"/>
        <v>R/X</v>
      </c>
    </row>
    <row r="418" spans="1:14" ht="15" customHeight="1" x14ac:dyDescent="0.35">
      <c r="A418">
        <v>38</v>
      </c>
      <c r="B418">
        <v>50</v>
      </c>
      <c r="C418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Master'!$F:$F,B418),"")</f>
        <v>142</v>
      </c>
      <c r="D418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Master'!$F:$F,B418),"")</f>
        <v>0.82</v>
      </c>
      <c r="E418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Master'!$F:$F,B418),"")</f>
        <v>0.82</v>
      </c>
      <c r="F418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Master'!$F:$F,B418),"")</f>
        <v>7.8E-2</v>
      </c>
      <c r="G418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Master'!$F:$F,B418),"")</f>
        <v>143</v>
      </c>
      <c r="H418">
        <f>IF(AND(ISNUMBER(C418),C418&gt;='Bulk Calculator'!U38/('Bulk Calculator'!J38*'Bulk Calculator'!L38)),1,0)</f>
        <v>1</v>
      </c>
      <c r="I418">
        <f>IFERROR(IF(AND(ISNUMBER(E418),ISNUMBER(F418),E418&gt;0,F418&gt;0),SQRT(3)*'Bulk Calculator'!O38*'Bulk Calculator'!AA38*((E418*'Bulk Calculator'!Q38)+(F418*SQRT(1-'Bulk Calculator'!Q38^2)))/'Bulk Calculator'!J38/'Bulk Calculator'!K38*100,D418*'Bulk Calculator'!AA38*'Bulk Calculator'!O38/'Bulk Calculator'!J38/'Bulk Calculator'!K38*100),"")</f>
        <v>0</v>
      </c>
      <c r="J418">
        <f>IFERROR(IF(AND(ISNUMBER(E418),ISNUMBER(F418),E418&gt;0,F418&gt;0),SQRT(3)*'Bulk Calculator'!O38*'Bulk Calculator'!U38*((E418*'Bulk Calculator'!M38)+(F418*SQRT(1-'Bulk Calculator'!M38^2)))/'Bulk Calculator'!J38/'Bulk Calculator'!K38*100,D418*'Bulk Calculator'!U38*'Bulk Calculator'!O38/'Bulk Calculator'!J38/'Bulk Calculator'!K38*100),"")</f>
        <v>0</v>
      </c>
      <c r="K418">
        <f>IFERROR(G418*B418*'Bulk Calculator'!J38/SQRT('Bulk Calculator'!S38)/1000,"")</f>
        <v>15.987886039123497</v>
      </c>
      <c r="L418">
        <f>IF(OR('Bulk Calculator'!R38="",'Bulk Calculator'!S38="",G418=""),0,IF(K418&gt;='Bulk Calculator'!R38,1,0))</f>
        <v>1</v>
      </c>
      <c r="M418">
        <f>IF(AND(H418=1,I418&lt;='OS-DORAEN'!$B$6,J418&lt;='OS-DORAEN'!$B$5,L418=1),1,0)</f>
        <v>1</v>
      </c>
      <c r="N418" t="str">
        <f t="shared" si="6"/>
        <v>R/X</v>
      </c>
    </row>
    <row r="419" spans="1:14" ht="15" customHeight="1" x14ac:dyDescent="0.35">
      <c r="A419">
        <v>38</v>
      </c>
      <c r="B419">
        <v>35</v>
      </c>
      <c r="C419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Master'!$F:$F,B419),"")</f>
        <v>117</v>
      </c>
      <c r="D419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Master'!$F:$F,B419),"")</f>
        <v>1.1100000000000001</v>
      </c>
      <c r="E419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Master'!$F:$F,B419),"")</f>
        <v>1.1100000000000001</v>
      </c>
      <c r="F419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Master'!$F:$F,B419),"")</f>
        <v>0.08</v>
      </c>
      <c r="G419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Master'!$F:$F,B419),"")</f>
        <v>143</v>
      </c>
      <c r="H419">
        <f>IF(AND(ISNUMBER(C419),C419&gt;='Bulk Calculator'!U38/('Bulk Calculator'!J38*'Bulk Calculator'!L38)),1,0)</f>
        <v>1</v>
      </c>
      <c r="I419">
        <f>IFERROR(IF(AND(ISNUMBER(E419),ISNUMBER(F419),E419&gt;0,F419&gt;0),SQRT(3)*'Bulk Calculator'!O38*'Bulk Calculator'!AA38*((E419*'Bulk Calculator'!Q38)+(F419*SQRT(1-'Bulk Calculator'!Q38^2)))/'Bulk Calculator'!J38/'Bulk Calculator'!K38*100,D419*'Bulk Calculator'!AA38*'Bulk Calculator'!O38/'Bulk Calculator'!J38/'Bulk Calculator'!K38*100),"")</f>
        <v>0</v>
      </c>
      <c r="J419">
        <f>IFERROR(IF(AND(ISNUMBER(E419),ISNUMBER(F419),E419&gt;0,F419&gt;0),SQRT(3)*'Bulk Calculator'!O38*'Bulk Calculator'!U38*((E419*'Bulk Calculator'!M38)+(F419*SQRT(1-'Bulk Calculator'!M38^2)))/'Bulk Calculator'!J38/'Bulk Calculator'!K38*100,D419*'Bulk Calculator'!U38*'Bulk Calculator'!O38/'Bulk Calculator'!J38/'Bulk Calculator'!K38*100),"")</f>
        <v>0</v>
      </c>
      <c r="K419">
        <f>IFERROR(G419*B419*'Bulk Calculator'!J38/SQRT('Bulk Calculator'!S38)/1000,"")</f>
        <v>11.191520227386446</v>
      </c>
      <c r="L419">
        <f>IF(OR('Bulk Calculator'!R38="",'Bulk Calculator'!S38="",G419=""),0,IF(K419&gt;='Bulk Calculator'!R38,1,0))</f>
        <v>1</v>
      </c>
      <c r="M419">
        <f>IF(AND(H419=1,I419&lt;='OS-DORAEN'!$B$6,J419&lt;='OS-DORAEN'!$B$5,L419=1),1,0)</f>
        <v>1</v>
      </c>
      <c r="N419" t="str">
        <f t="shared" si="6"/>
        <v>R/X</v>
      </c>
    </row>
    <row r="420" spans="1:14" ht="15" customHeight="1" x14ac:dyDescent="0.35">
      <c r="A420">
        <v>38</v>
      </c>
      <c r="B420">
        <v>25</v>
      </c>
      <c r="C420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Master'!$F:$F,B420),"")</f>
        <v>96</v>
      </c>
      <c r="D420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Master'!$F:$F,B420),"")</f>
        <v>1.54</v>
      </c>
      <c r="E420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Master'!$F:$F,B420),"")</f>
        <v>1.54</v>
      </c>
      <c r="F420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Master'!$F:$F,B420),"")</f>
        <v>0.08</v>
      </c>
      <c r="G420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Master'!$F:$F,B420),"")</f>
        <v>143</v>
      </c>
      <c r="H420">
        <f>IF(AND(ISNUMBER(C420),C420&gt;='Bulk Calculator'!U38/('Bulk Calculator'!J38*'Bulk Calculator'!L38)),1,0)</f>
        <v>1</v>
      </c>
      <c r="I420">
        <f>IFERROR(IF(AND(ISNUMBER(E420),ISNUMBER(F420),E420&gt;0,F420&gt;0),SQRT(3)*'Bulk Calculator'!O38*'Bulk Calculator'!AA38*((E420*'Bulk Calculator'!Q38)+(F420*SQRT(1-'Bulk Calculator'!Q38^2)))/'Bulk Calculator'!J38/'Bulk Calculator'!K38*100,D420*'Bulk Calculator'!AA38*'Bulk Calculator'!O38/'Bulk Calculator'!J38/'Bulk Calculator'!K38*100),"")</f>
        <v>0</v>
      </c>
      <c r="J420">
        <f>IFERROR(IF(AND(ISNUMBER(E420),ISNUMBER(F420),E420&gt;0,F420&gt;0),SQRT(3)*'Bulk Calculator'!O38*'Bulk Calculator'!U38*((E420*'Bulk Calculator'!M38)+(F420*SQRT(1-'Bulk Calculator'!M38^2)))/'Bulk Calculator'!J38/'Bulk Calculator'!K38*100,D420*'Bulk Calculator'!U38*'Bulk Calculator'!O38/'Bulk Calculator'!J38/'Bulk Calculator'!K38*100),"")</f>
        <v>0</v>
      </c>
      <c r="K420">
        <f>IFERROR(G420*B420*'Bulk Calculator'!J38/SQRT('Bulk Calculator'!S38)/1000,"")</f>
        <v>7.9939430195617485</v>
      </c>
      <c r="L420">
        <f>IF(OR('Bulk Calculator'!R38="",'Bulk Calculator'!S38="",G420=""),0,IF(K420&gt;='Bulk Calculator'!R38,1,0))</f>
        <v>1</v>
      </c>
      <c r="M420">
        <f>IF(AND(H420=1,I420&lt;='OS-DORAEN'!$B$6,J420&lt;='OS-DORAEN'!$B$5,L420=1),1,0)</f>
        <v>1</v>
      </c>
      <c r="N420" t="str">
        <f t="shared" si="6"/>
        <v>R/X</v>
      </c>
    </row>
    <row r="421" spans="1:14" ht="15" customHeight="1" x14ac:dyDescent="0.35">
      <c r="A421">
        <v>38</v>
      </c>
      <c r="B421">
        <v>16</v>
      </c>
      <c r="C421">
        <f>IFERROR(SUMIFS('Cable Data Master'!$G:$G,'Cable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Master'!$F:$F,B421),"")</f>
        <v>0</v>
      </c>
      <c r="D421">
        <f>IFERROR(SUMIFS('Cable Data Master'!$K:$K,'Cable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Master'!$F:$F,B421),"")</f>
        <v>0</v>
      </c>
      <c r="E421">
        <f>IFERROR(SUMIFS('Cable Data Master'!$H:$H,'Cable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Master'!$F:$F,B421),"")</f>
        <v>0</v>
      </c>
      <c r="F421">
        <f>IFERROR(SUMIFS('Cable Data Master'!$I:$I,'Cable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Master'!$F:$F,B421),"")</f>
        <v>0</v>
      </c>
      <c r="G421">
        <f>IFERROR(SUMIFS('Cable Data Master'!$J:$J,'Cable Data Master'!$A:$A,'Bulk Calculator'!$BF38,'Cable Data Master'!$B:$B,'Bulk Calculator'!$BG38,'Cable Data Master'!$C:$C,'Bulk Calculator'!$BH38,'Cable Data Master'!$D:$D,'Bulk Calculator'!$BI38,'Cable Data Master'!$E:$E,'Bulk Calculator'!$BJ38,'Cable Data Master'!$F:$F,B421),"")</f>
        <v>0</v>
      </c>
      <c r="H421">
        <f>IF(AND(ISNUMBER(C421),C421&gt;='Bulk Calculator'!U38/('Bulk Calculator'!J38*'Bulk Calculator'!L38)),1,0)</f>
        <v>1</v>
      </c>
      <c r="I421">
        <f>IFERROR(IF(AND(ISNUMBER(E421),ISNUMBER(F421),E421&gt;0,F421&gt;0),SQRT(3)*'Bulk Calculator'!O38*'Bulk Calculator'!AA38*((E421*'Bulk Calculator'!Q38)+(F421*SQRT(1-'Bulk Calculator'!Q38^2)))/'Bulk Calculator'!J38/'Bulk Calculator'!K38*100,D421*'Bulk Calculator'!AA38*'Bulk Calculator'!O38/'Bulk Calculator'!J38/'Bulk Calculator'!K38*100),"")</f>
        <v>0</v>
      </c>
      <c r="J421">
        <f>IFERROR(IF(AND(ISNUMBER(E421),ISNUMBER(F421),E421&gt;0,F421&gt;0),SQRT(3)*'Bulk Calculator'!O38*'Bulk Calculator'!U38*((E421*'Bulk Calculator'!M38)+(F421*SQRT(1-'Bulk Calculator'!M38^2)))/'Bulk Calculator'!J38/'Bulk Calculator'!K38*100,D421*'Bulk Calculator'!U38*'Bulk Calculator'!O38/'Bulk Calculator'!J38/'Bulk Calculator'!K38*100),"")</f>
        <v>0</v>
      </c>
      <c r="K421">
        <f>IFERROR(G421*B421*'Bulk Calculator'!J38/SQRT('Bulk Calculator'!S38)/1000,"")</f>
        <v>0</v>
      </c>
      <c r="L421">
        <f>IF(OR('Bulk Calculator'!R38="",'Bulk Calculator'!S38="",G421=""),0,IF(K421&gt;='Bulk Calculator'!R38,1,0))</f>
        <v>1</v>
      </c>
      <c r="M421">
        <f>IF(AND(H421=1,I421&lt;='OS-DORAEN'!$B$6,J421&lt;='OS-DORAEN'!$B$5,L421=1),1,0)</f>
        <v>1</v>
      </c>
      <c r="N421" t="str">
        <f t="shared" si="6"/>
        <v>Manufacturer VD Ref</v>
      </c>
    </row>
    <row r="422" spans="1:14" ht="15" customHeight="1" x14ac:dyDescent="0.35">
      <c r="A422">
        <v>39</v>
      </c>
      <c r="B422">
        <v>400</v>
      </c>
      <c r="C422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Master'!$F:$F,B422),"")</f>
        <v>530</v>
      </c>
      <c r="D422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Master'!$F:$F,B422),"")</f>
        <v>0.1023</v>
      </c>
      <c r="E422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Master'!$F:$F,B422),"")</f>
        <v>0.1023</v>
      </c>
      <c r="F422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Master'!$F:$F,B422),"")</f>
        <v>7.0000000000000007E-2</v>
      </c>
      <c r="G422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Master'!$F:$F,B422),"")</f>
        <v>143</v>
      </c>
      <c r="H422">
        <f>IF(AND(ISNUMBER(C422),C422&gt;='Bulk Calculator'!U39/('Bulk Calculator'!J39*'Bulk Calculator'!L39)),1,0)</f>
        <v>1</v>
      </c>
      <c r="I422">
        <f>IFERROR(IF(AND(ISNUMBER(E422),ISNUMBER(F422),E422&gt;0,F422&gt;0),SQRT(3)*'Bulk Calculator'!O39*'Bulk Calculator'!AA39*((E422*'Bulk Calculator'!Q39)+(F422*SQRT(1-'Bulk Calculator'!Q39^2)))/'Bulk Calculator'!J39/'Bulk Calculator'!K39*100,D422*'Bulk Calculator'!AA39*'Bulk Calculator'!O39/'Bulk Calculator'!J39/'Bulk Calculator'!K39*100),"")</f>
        <v>0</v>
      </c>
      <c r="J422">
        <f>IFERROR(IF(AND(ISNUMBER(E422),ISNUMBER(F422),E422&gt;0,F422&gt;0),SQRT(3)*'Bulk Calculator'!O39*'Bulk Calculator'!U39*((E422*'Bulk Calculator'!M39)+(F422*SQRT(1-'Bulk Calculator'!M39^2)))/'Bulk Calculator'!J39/'Bulk Calculator'!K39*100,D422*'Bulk Calculator'!U39*'Bulk Calculator'!O39/'Bulk Calculator'!J39/'Bulk Calculator'!K39*100),"")</f>
        <v>0</v>
      </c>
      <c r="K422">
        <f>IFERROR(G422*B422*'Bulk Calculator'!J39/SQRT('Bulk Calculator'!S39)/1000,"")</f>
        <v>127.90308831298798</v>
      </c>
      <c r="L422">
        <f>IF(OR('Bulk Calculator'!R39="",'Bulk Calculator'!S39="",G422=""),0,IF(K422&gt;='Bulk Calculator'!R39,1,0))</f>
        <v>1</v>
      </c>
      <c r="M422">
        <f>IF(AND(H422=1,I422&lt;='OS-DORAEN'!$B$6,J422&lt;='OS-DORAEN'!$B$5,L422=1),1,0)</f>
        <v>1</v>
      </c>
      <c r="N422" t="str">
        <f t="shared" si="6"/>
        <v>R/X</v>
      </c>
    </row>
    <row r="423" spans="1:14" ht="15" customHeight="1" x14ac:dyDescent="0.35">
      <c r="A423">
        <v>39</v>
      </c>
      <c r="B423">
        <v>300</v>
      </c>
      <c r="C423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Master'!$F:$F,B423),"")</f>
        <v>455</v>
      </c>
      <c r="D423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Master'!$F:$F,B423),"")</f>
        <v>0.13</v>
      </c>
      <c r="E423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Master'!$F:$F,B423),"")</f>
        <v>0.13</v>
      </c>
      <c r="F423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Master'!$F:$F,B423),"")</f>
        <v>7.0999999999999994E-2</v>
      </c>
      <c r="G423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Master'!$F:$F,B423),"")</f>
        <v>143</v>
      </c>
      <c r="H423">
        <f>IF(AND(ISNUMBER(C423),C423&gt;='Bulk Calculator'!U39/('Bulk Calculator'!J39*'Bulk Calculator'!L39)),1,0)</f>
        <v>1</v>
      </c>
      <c r="I423">
        <f>IFERROR(IF(AND(ISNUMBER(E423),ISNUMBER(F423),E423&gt;0,F423&gt;0),SQRT(3)*'Bulk Calculator'!O39*'Bulk Calculator'!AA39*((E423*'Bulk Calculator'!Q39)+(F423*SQRT(1-'Bulk Calculator'!Q39^2)))/'Bulk Calculator'!J39/'Bulk Calculator'!K39*100,D423*'Bulk Calculator'!AA39*'Bulk Calculator'!O39/'Bulk Calculator'!J39/'Bulk Calculator'!K39*100),"")</f>
        <v>0</v>
      </c>
      <c r="J423">
        <f>IFERROR(IF(AND(ISNUMBER(E423),ISNUMBER(F423),E423&gt;0,F423&gt;0),SQRT(3)*'Bulk Calculator'!O39*'Bulk Calculator'!U39*((E423*'Bulk Calculator'!M39)+(F423*SQRT(1-'Bulk Calculator'!M39^2)))/'Bulk Calculator'!J39/'Bulk Calculator'!K39*100,D423*'Bulk Calculator'!U39*'Bulk Calculator'!O39/'Bulk Calculator'!J39/'Bulk Calculator'!K39*100),"")</f>
        <v>0</v>
      </c>
      <c r="K423">
        <f>IFERROR(G423*B423*'Bulk Calculator'!J39/SQRT('Bulk Calculator'!S39)/1000,"")</f>
        <v>95.927316234740985</v>
      </c>
      <c r="L423">
        <f>IF(OR('Bulk Calculator'!R39="",'Bulk Calculator'!S39="",G423=""),0,IF(K423&gt;='Bulk Calculator'!R39,1,0))</f>
        <v>1</v>
      </c>
      <c r="M423">
        <f>IF(AND(H423=1,I423&lt;='OS-DORAEN'!$B$6,J423&lt;='OS-DORAEN'!$B$5,L423=1),1,0)</f>
        <v>1</v>
      </c>
      <c r="N423" t="str">
        <f t="shared" si="6"/>
        <v>R/X</v>
      </c>
    </row>
    <row r="424" spans="1:14" ht="15" customHeight="1" x14ac:dyDescent="0.35">
      <c r="A424">
        <v>39</v>
      </c>
      <c r="B424">
        <v>240</v>
      </c>
      <c r="C424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Master'!$F:$F,B424),"")</f>
        <v>399</v>
      </c>
      <c r="D424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Master'!$F:$F,B424),"")</f>
        <v>0.16200000000000001</v>
      </c>
      <c r="E424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Master'!$F:$F,B424),"")</f>
        <v>0.16200000000000001</v>
      </c>
      <c r="F424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Master'!$F:$F,B424),"")</f>
        <v>7.1999999999999995E-2</v>
      </c>
      <c r="G424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Master'!$F:$F,B424),"")</f>
        <v>143</v>
      </c>
      <c r="H424">
        <f>IF(AND(ISNUMBER(C424),C424&gt;='Bulk Calculator'!U39/('Bulk Calculator'!J39*'Bulk Calculator'!L39)),1,0)</f>
        <v>1</v>
      </c>
      <c r="I424">
        <f>IFERROR(IF(AND(ISNUMBER(E424),ISNUMBER(F424),E424&gt;0,F424&gt;0),SQRT(3)*'Bulk Calculator'!O39*'Bulk Calculator'!AA39*((E424*'Bulk Calculator'!Q39)+(F424*SQRT(1-'Bulk Calculator'!Q39^2)))/'Bulk Calculator'!J39/'Bulk Calculator'!K39*100,D424*'Bulk Calculator'!AA39*'Bulk Calculator'!O39/'Bulk Calculator'!J39/'Bulk Calculator'!K39*100),"")</f>
        <v>0</v>
      </c>
      <c r="J424">
        <f>IFERROR(IF(AND(ISNUMBER(E424),ISNUMBER(F424),E424&gt;0,F424&gt;0),SQRT(3)*'Bulk Calculator'!O39*'Bulk Calculator'!U39*((E424*'Bulk Calculator'!M39)+(F424*SQRT(1-'Bulk Calculator'!M39^2)))/'Bulk Calculator'!J39/'Bulk Calculator'!K39*100,D424*'Bulk Calculator'!U39*'Bulk Calculator'!O39/'Bulk Calculator'!J39/'Bulk Calculator'!K39*100),"")</f>
        <v>0</v>
      </c>
      <c r="K424">
        <f>IFERROR(G424*B424*'Bulk Calculator'!J39/SQRT('Bulk Calculator'!S39)/1000,"")</f>
        <v>76.741852987792782</v>
      </c>
      <c r="L424">
        <f>IF(OR('Bulk Calculator'!R39="",'Bulk Calculator'!S39="",G424=""),0,IF(K424&gt;='Bulk Calculator'!R39,1,0))</f>
        <v>1</v>
      </c>
      <c r="M424">
        <f>IF(AND(H424=1,I424&lt;='OS-DORAEN'!$B$6,J424&lt;='OS-DORAEN'!$B$5,L424=1),1,0)</f>
        <v>1</v>
      </c>
      <c r="N424" t="str">
        <f t="shared" si="6"/>
        <v>R/X</v>
      </c>
    </row>
    <row r="425" spans="1:14" ht="15" customHeight="1" x14ac:dyDescent="0.35">
      <c r="A425">
        <v>39</v>
      </c>
      <c r="B425">
        <v>185</v>
      </c>
      <c r="C425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Master'!$F:$F,B425),"")</f>
        <v>337</v>
      </c>
      <c r="D425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Master'!$F:$F,B425),"")</f>
        <v>0.21099999999999999</v>
      </c>
      <c r="E425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Master'!$F:$F,B425),"")</f>
        <v>0.21099999999999999</v>
      </c>
      <c r="F425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Master'!$F:$F,B425),"")</f>
        <v>7.1999999999999995E-2</v>
      </c>
      <c r="G425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Master'!$F:$F,B425),"")</f>
        <v>143</v>
      </c>
      <c r="H425">
        <f>IF(AND(ISNUMBER(C425),C425&gt;='Bulk Calculator'!U39/('Bulk Calculator'!J39*'Bulk Calculator'!L39)),1,0)</f>
        <v>1</v>
      </c>
      <c r="I425">
        <f>IFERROR(IF(AND(ISNUMBER(E425),ISNUMBER(F425),E425&gt;0,F425&gt;0),SQRT(3)*'Bulk Calculator'!O39*'Bulk Calculator'!AA39*((E425*'Bulk Calculator'!Q39)+(F425*SQRT(1-'Bulk Calculator'!Q39^2)))/'Bulk Calculator'!J39/'Bulk Calculator'!K39*100,D425*'Bulk Calculator'!AA39*'Bulk Calculator'!O39/'Bulk Calculator'!J39/'Bulk Calculator'!K39*100),"")</f>
        <v>0</v>
      </c>
      <c r="J425">
        <f>IFERROR(IF(AND(ISNUMBER(E425),ISNUMBER(F425),E425&gt;0,F425&gt;0),SQRT(3)*'Bulk Calculator'!O39*'Bulk Calculator'!U39*((E425*'Bulk Calculator'!M39)+(F425*SQRT(1-'Bulk Calculator'!M39^2)))/'Bulk Calculator'!J39/'Bulk Calculator'!K39*100,D425*'Bulk Calculator'!U39*'Bulk Calculator'!O39/'Bulk Calculator'!J39/'Bulk Calculator'!K39*100),"")</f>
        <v>0</v>
      </c>
      <c r="K425">
        <f>IFERROR(G425*B425*'Bulk Calculator'!J39/SQRT('Bulk Calculator'!S39)/1000,"")</f>
        <v>59.155178344756941</v>
      </c>
      <c r="L425">
        <f>IF(OR('Bulk Calculator'!R39="",'Bulk Calculator'!S39="",G425=""),0,IF(K425&gt;='Bulk Calculator'!R39,1,0))</f>
        <v>1</v>
      </c>
      <c r="M425">
        <f>IF(AND(H425=1,I425&lt;='OS-DORAEN'!$B$6,J425&lt;='OS-DORAEN'!$B$5,L425=1),1,0)</f>
        <v>1</v>
      </c>
      <c r="N425" t="str">
        <f t="shared" si="6"/>
        <v>R/X</v>
      </c>
    </row>
    <row r="426" spans="1:14" ht="15" customHeight="1" x14ac:dyDescent="0.35">
      <c r="A426">
        <v>39</v>
      </c>
      <c r="B426">
        <v>150</v>
      </c>
      <c r="C426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Master'!$F:$F,B426),"")</f>
        <v>292</v>
      </c>
      <c r="D426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Master'!$F:$F,B426),"")</f>
        <v>0.26500000000000001</v>
      </c>
      <c r="E426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Master'!$F:$F,B426),"")</f>
        <v>0.26500000000000001</v>
      </c>
      <c r="F426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Master'!$F:$F,B426),"")</f>
        <v>7.1999999999999995E-2</v>
      </c>
      <c r="G426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Master'!$F:$F,B426),"")</f>
        <v>143</v>
      </c>
      <c r="H426">
        <f>IF(AND(ISNUMBER(C426),C426&gt;='Bulk Calculator'!U39/('Bulk Calculator'!J39*'Bulk Calculator'!L39)),1,0)</f>
        <v>1</v>
      </c>
      <c r="I426">
        <f>IFERROR(IF(AND(ISNUMBER(E426),ISNUMBER(F426),E426&gt;0,F426&gt;0),SQRT(3)*'Bulk Calculator'!O39*'Bulk Calculator'!AA39*((E426*'Bulk Calculator'!Q39)+(F426*SQRT(1-'Bulk Calculator'!Q39^2)))/'Bulk Calculator'!J39/'Bulk Calculator'!K39*100,D426*'Bulk Calculator'!AA39*'Bulk Calculator'!O39/'Bulk Calculator'!J39/'Bulk Calculator'!K39*100),"")</f>
        <v>0</v>
      </c>
      <c r="J426">
        <f>IFERROR(IF(AND(ISNUMBER(E426),ISNUMBER(F426),E426&gt;0,F426&gt;0),SQRT(3)*'Bulk Calculator'!O39*'Bulk Calculator'!U39*((E426*'Bulk Calculator'!M39)+(F426*SQRT(1-'Bulk Calculator'!M39^2)))/'Bulk Calculator'!J39/'Bulk Calculator'!K39*100,D426*'Bulk Calculator'!U39*'Bulk Calculator'!O39/'Bulk Calculator'!J39/'Bulk Calculator'!K39*100),"")</f>
        <v>0</v>
      </c>
      <c r="K426">
        <f>IFERROR(G426*B426*'Bulk Calculator'!J39/SQRT('Bulk Calculator'!S39)/1000,"")</f>
        <v>47.963658117370493</v>
      </c>
      <c r="L426">
        <f>IF(OR('Bulk Calculator'!R39="",'Bulk Calculator'!S39="",G426=""),0,IF(K426&gt;='Bulk Calculator'!R39,1,0))</f>
        <v>1</v>
      </c>
      <c r="M426">
        <f>IF(AND(H426=1,I426&lt;='OS-DORAEN'!$B$6,J426&lt;='OS-DORAEN'!$B$5,L426=1),1,0)</f>
        <v>1</v>
      </c>
      <c r="N426" t="str">
        <f t="shared" si="6"/>
        <v>R/X</v>
      </c>
    </row>
    <row r="427" spans="1:14" ht="15" customHeight="1" x14ac:dyDescent="0.35">
      <c r="A427">
        <v>39</v>
      </c>
      <c r="B427">
        <v>120</v>
      </c>
      <c r="C427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Master'!$F:$F,B427),"")</f>
        <v>257</v>
      </c>
      <c r="D427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Master'!$F:$F,B427),"")</f>
        <v>0.32500000000000001</v>
      </c>
      <c r="E427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Master'!$F:$F,B427),"")</f>
        <v>0.32500000000000001</v>
      </c>
      <c r="F427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Master'!$F:$F,B427),"")</f>
        <v>7.1999999999999995E-2</v>
      </c>
      <c r="G427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Master'!$F:$F,B427),"")</f>
        <v>143</v>
      </c>
      <c r="H427">
        <f>IF(AND(ISNUMBER(C427),C427&gt;='Bulk Calculator'!U39/('Bulk Calculator'!J39*'Bulk Calculator'!L39)),1,0)</f>
        <v>1</v>
      </c>
      <c r="I427">
        <f>IFERROR(IF(AND(ISNUMBER(E427),ISNUMBER(F427),E427&gt;0,F427&gt;0),SQRT(3)*'Bulk Calculator'!O39*'Bulk Calculator'!AA39*((E427*'Bulk Calculator'!Q39)+(F427*SQRT(1-'Bulk Calculator'!Q39^2)))/'Bulk Calculator'!J39/'Bulk Calculator'!K39*100,D427*'Bulk Calculator'!AA39*'Bulk Calculator'!O39/'Bulk Calculator'!J39/'Bulk Calculator'!K39*100),"")</f>
        <v>0</v>
      </c>
      <c r="J427">
        <f>IFERROR(IF(AND(ISNUMBER(E427),ISNUMBER(F427),E427&gt;0,F427&gt;0),SQRT(3)*'Bulk Calculator'!O39*'Bulk Calculator'!U39*((E427*'Bulk Calculator'!M39)+(F427*SQRT(1-'Bulk Calculator'!M39^2)))/'Bulk Calculator'!J39/'Bulk Calculator'!K39*100,D427*'Bulk Calculator'!U39*'Bulk Calculator'!O39/'Bulk Calculator'!J39/'Bulk Calculator'!K39*100),"")</f>
        <v>0</v>
      </c>
      <c r="K427">
        <f>IFERROR(G427*B427*'Bulk Calculator'!J39/SQRT('Bulk Calculator'!S39)/1000,"")</f>
        <v>38.370926493896391</v>
      </c>
      <c r="L427">
        <f>IF(OR('Bulk Calculator'!R39="",'Bulk Calculator'!S39="",G427=""),0,IF(K427&gt;='Bulk Calculator'!R39,1,0))</f>
        <v>1</v>
      </c>
      <c r="M427">
        <f>IF(AND(H427=1,I427&lt;='OS-DORAEN'!$B$6,J427&lt;='OS-DORAEN'!$B$5,L427=1),1,0)</f>
        <v>1</v>
      </c>
      <c r="N427" t="str">
        <f t="shared" si="6"/>
        <v>R/X</v>
      </c>
    </row>
    <row r="428" spans="1:14" ht="15" customHeight="1" x14ac:dyDescent="0.35">
      <c r="A428">
        <v>39</v>
      </c>
      <c r="B428">
        <v>95</v>
      </c>
      <c r="C428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Master'!$F:$F,B428),"")</f>
        <v>221</v>
      </c>
      <c r="D428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Master'!$F:$F,B428),"")</f>
        <v>0.41</v>
      </c>
      <c r="E428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Master'!$F:$F,B428),"")</f>
        <v>0.41</v>
      </c>
      <c r="F428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Master'!$F:$F,B428),"")</f>
        <v>7.3999999999999996E-2</v>
      </c>
      <c r="G428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Master'!$F:$F,B428),"")</f>
        <v>143</v>
      </c>
      <c r="H428">
        <f>IF(AND(ISNUMBER(C428),C428&gt;='Bulk Calculator'!U39/('Bulk Calculator'!J39*'Bulk Calculator'!L39)),1,0)</f>
        <v>1</v>
      </c>
      <c r="I428">
        <f>IFERROR(IF(AND(ISNUMBER(E428),ISNUMBER(F428),E428&gt;0,F428&gt;0),SQRT(3)*'Bulk Calculator'!O39*'Bulk Calculator'!AA39*((E428*'Bulk Calculator'!Q39)+(F428*SQRT(1-'Bulk Calculator'!Q39^2)))/'Bulk Calculator'!J39/'Bulk Calculator'!K39*100,D428*'Bulk Calculator'!AA39*'Bulk Calculator'!O39/'Bulk Calculator'!J39/'Bulk Calculator'!K39*100),"")</f>
        <v>0</v>
      </c>
      <c r="J428">
        <f>IFERROR(IF(AND(ISNUMBER(E428),ISNUMBER(F428),E428&gt;0,F428&gt;0),SQRT(3)*'Bulk Calculator'!O39*'Bulk Calculator'!U39*((E428*'Bulk Calculator'!M39)+(F428*SQRT(1-'Bulk Calculator'!M39^2)))/'Bulk Calculator'!J39/'Bulk Calculator'!K39*100,D428*'Bulk Calculator'!U39*'Bulk Calculator'!O39/'Bulk Calculator'!J39/'Bulk Calculator'!K39*100),"")</f>
        <v>0</v>
      </c>
      <c r="K428">
        <f>IFERROR(G428*B428*'Bulk Calculator'!J39/SQRT('Bulk Calculator'!S39)/1000,"")</f>
        <v>30.376983474334644</v>
      </c>
      <c r="L428">
        <f>IF(OR('Bulk Calculator'!R39="",'Bulk Calculator'!S39="",G428=""),0,IF(K428&gt;='Bulk Calculator'!R39,1,0))</f>
        <v>1</v>
      </c>
      <c r="M428">
        <f>IF(AND(H428=1,I428&lt;='OS-DORAEN'!$B$6,J428&lt;='OS-DORAEN'!$B$5,L428=1),1,0)</f>
        <v>1</v>
      </c>
      <c r="N428" t="str">
        <f t="shared" si="6"/>
        <v>R/X</v>
      </c>
    </row>
    <row r="429" spans="1:14" ht="15" customHeight="1" x14ac:dyDescent="0.35">
      <c r="A429">
        <v>39</v>
      </c>
      <c r="B429">
        <v>70</v>
      </c>
      <c r="C429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Master'!$F:$F,B429),"")</f>
        <v>179</v>
      </c>
      <c r="D429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Master'!$F:$F,B429),"")</f>
        <v>0.56699999999999995</v>
      </c>
      <c r="E429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Master'!$F:$F,B429),"")</f>
        <v>0.56699999999999995</v>
      </c>
      <c r="F429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Master'!$F:$F,B429),"")</f>
        <v>7.6999999999999999E-2</v>
      </c>
      <c r="G429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Master'!$F:$F,B429),"")</f>
        <v>143</v>
      </c>
      <c r="H429">
        <f>IF(AND(ISNUMBER(C429),C429&gt;='Bulk Calculator'!U39/('Bulk Calculator'!J39*'Bulk Calculator'!L39)),1,0)</f>
        <v>1</v>
      </c>
      <c r="I429">
        <f>IFERROR(IF(AND(ISNUMBER(E429),ISNUMBER(F429),E429&gt;0,F429&gt;0),SQRT(3)*'Bulk Calculator'!O39*'Bulk Calculator'!AA39*((E429*'Bulk Calculator'!Q39)+(F429*SQRT(1-'Bulk Calculator'!Q39^2)))/'Bulk Calculator'!J39/'Bulk Calculator'!K39*100,D429*'Bulk Calculator'!AA39*'Bulk Calculator'!O39/'Bulk Calculator'!J39/'Bulk Calculator'!K39*100),"")</f>
        <v>0</v>
      </c>
      <c r="J429">
        <f>IFERROR(IF(AND(ISNUMBER(E429),ISNUMBER(F429),E429&gt;0,F429&gt;0),SQRT(3)*'Bulk Calculator'!O39*'Bulk Calculator'!U39*((E429*'Bulk Calculator'!M39)+(F429*SQRT(1-'Bulk Calculator'!M39^2)))/'Bulk Calculator'!J39/'Bulk Calculator'!K39*100,D429*'Bulk Calculator'!U39*'Bulk Calculator'!O39/'Bulk Calculator'!J39/'Bulk Calculator'!K39*100),"")</f>
        <v>0</v>
      </c>
      <c r="K429">
        <f>IFERROR(G429*B429*'Bulk Calculator'!J39/SQRT('Bulk Calculator'!S39)/1000,"")</f>
        <v>22.383040454772893</v>
      </c>
      <c r="L429">
        <f>IF(OR('Bulk Calculator'!R39="",'Bulk Calculator'!S39="",G429=""),0,IF(K429&gt;='Bulk Calculator'!R39,1,0))</f>
        <v>1</v>
      </c>
      <c r="M429">
        <f>IF(AND(H429=1,I429&lt;='OS-DORAEN'!$B$6,J429&lt;='OS-DORAEN'!$B$5,L429=1),1,0)</f>
        <v>1</v>
      </c>
      <c r="N429" t="str">
        <f t="shared" si="6"/>
        <v>R/X</v>
      </c>
    </row>
    <row r="430" spans="1:14" ht="15" customHeight="1" x14ac:dyDescent="0.35">
      <c r="A430">
        <v>39</v>
      </c>
      <c r="B430">
        <v>50</v>
      </c>
      <c r="C430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Master'!$F:$F,B430),"")</f>
        <v>142</v>
      </c>
      <c r="D430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Master'!$F:$F,B430),"")</f>
        <v>0.82</v>
      </c>
      <c r="E430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Master'!$F:$F,B430),"")</f>
        <v>0.82</v>
      </c>
      <c r="F430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Master'!$F:$F,B430),"")</f>
        <v>7.8E-2</v>
      </c>
      <c r="G430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Master'!$F:$F,B430),"")</f>
        <v>143</v>
      </c>
      <c r="H430">
        <f>IF(AND(ISNUMBER(C430),C430&gt;='Bulk Calculator'!U39/('Bulk Calculator'!J39*'Bulk Calculator'!L39)),1,0)</f>
        <v>1</v>
      </c>
      <c r="I430">
        <f>IFERROR(IF(AND(ISNUMBER(E430),ISNUMBER(F430),E430&gt;0,F430&gt;0),SQRT(3)*'Bulk Calculator'!O39*'Bulk Calculator'!AA39*((E430*'Bulk Calculator'!Q39)+(F430*SQRT(1-'Bulk Calculator'!Q39^2)))/'Bulk Calculator'!J39/'Bulk Calculator'!K39*100,D430*'Bulk Calculator'!AA39*'Bulk Calculator'!O39/'Bulk Calculator'!J39/'Bulk Calculator'!K39*100),"")</f>
        <v>0</v>
      </c>
      <c r="J430">
        <f>IFERROR(IF(AND(ISNUMBER(E430),ISNUMBER(F430),E430&gt;0,F430&gt;0),SQRT(3)*'Bulk Calculator'!O39*'Bulk Calculator'!U39*((E430*'Bulk Calculator'!M39)+(F430*SQRT(1-'Bulk Calculator'!M39^2)))/'Bulk Calculator'!J39/'Bulk Calculator'!K39*100,D430*'Bulk Calculator'!U39*'Bulk Calculator'!O39/'Bulk Calculator'!J39/'Bulk Calculator'!K39*100),"")</f>
        <v>0</v>
      </c>
      <c r="K430">
        <f>IFERROR(G430*B430*'Bulk Calculator'!J39/SQRT('Bulk Calculator'!S39)/1000,"")</f>
        <v>15.987886039123497</v>
      </c>
      <c r="L430">
        <f>IF(OR('Bulk Calculator'!R39="",'Bulk Calculator'!S39="",G430=""),0,IF(K430&gt;='Bulk Calculator'!R39,1,0))</f>
        <v>1</v>
      </c>
      <c r="M430">
        <f>IF(AND(H430=1,I430&lt;='OS-DORAEN'!$B$6,J430&lt;='OS-DORAEN'!$B$5,L430=1),1,0)</f>
        <v>1</v>
      </c>
      <c r="N430" t="str">
        <f t="shared" si="6"/>
        <v>R/X</v>
      </c>
    </row>
    <row r="431" spans="1:14" ht="15" customHeight="1" x14ac:dyDescent="0.35">
      <c r="A431">
        <v>39</v>
      </c>
      <c r="B431">
        <v>35</v>
      </c>
      <c r="C431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Master'!$F:$F,B431),"")</f>
        <v>117</v>
      </c>
      <c r="D431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Master'!$F:$F,B431),"")</f>
        <v>1.1100000000000001</v>
      </c>
      <c r="E431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Master'!$F:$F,B431),"")</f>
        <v>1.1100000000000001</v>
      </c>
      <c r="F431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Master'!$F:$F,B431),"")</f>
        <v>0.08</v>
      </c>
      <c r="G431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Master'!$F:$F,B431),"")</f>
        <v>143</v>
      </c>
      <c r="H431">
        <f>IF(AND(ISNUMBER(C431),C431&gt;='Bulk Calculator'!U39/('Bulk Calculator'!J39*'Bulk Calculator'!L39)),1,0)</f>
        <v>1</v>
      </c>
      <c r="I431">
        <f>IFERROR(IF(AND(ISNUMBER(E431),ISNUMBER(F431),E431&gt;0,F431&gt;0),SQRT(3)*'Bulk Calculator'!O39*'Bulk Calculator'!AA39*((E431*'Bulk Calculator'!Q39)+(F431*SQRT(1-'Bulk Calculator'!Q39^2)))/'Bulk Calculator'!J39/'Bulk Calculator'!K39*100,D431*'Bulk Calculator'!AA39*'Bulk Calculator'!O39/'Bulk Calculator'!J39/'Bulk Calculator'!K39*100),"")</f>
        <v>0</v>
      </c>
      <c r="J431">
        <f>IFERROR(IF(AND(ISNUMBER(E431),ISNUMBER(F431),E431&gt;0,F431&gt;0),SQRT(3)*'Bulk Calculator'!O39*'Bulk Calculator'!U39*((E431*'Bulk Calculator'!M39)+(F431*SQRT(1-'Bulk Calculator'!M39^2)))/'Bulk Calculator'!J39/'Bulk Calculator'!K39*100,D431*'Bulk Calculator'!U39*'Bulk Calculator'!O39/'Bulk Calculator'!J39/'Bulk Calculator'!K39*100),"")</f>
        <v>0</v>
      </c>
      <c r="K431">
        <f>IFERROR(G431*B431*'Bulk Calculator'!J39/SQRT('Bulk Calculator'!S39)/1000,"")</f>
        <v>11.191520227386446</v>
      </c>
      <c r="L431">
        <f>IF(OR('Bulk Calculator'!R39="",'Bulk Calculator'!S39="",G431=""),0,IF(K431&gt;='Bulk Calculator'!R39,1,0))</f>
        <v>1</v>
      </c>
      <c r="M431">
        <f>IF(AND(H431=1,I431&lt;='OS-DORAEN'!$B$6,J431&lt;='OS-DORAEN'!$B$5,L431=1),1,0)</f>
        <v>1</v>
      </c>
      <c r="N431" t="str">
        <f t="shared" si="6"/>
        <v>R/X</v>
      </c>
    </row>
    <row r="432" spans="1:14" ht="15" customHeight="1" x14ac:dyDescent="0.35">
      <c r="A432">
        <v>39</v>
      </c>
      <c r="B432">
        <v>25</v>
      </c>
      <c r="C432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Master'!$F:$F,B432),"")</f>
        <v>96</v>
      </c>
      <c r="D432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Master'!$F:$F,B432),"")</f>
        <v>1.54</v>
      </c>
      <c r="E432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Master'!$F:$F,B432),"")</f>
        <v>1.54</v>
      </c>
      <c r="F432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Master'!$F:$F,B432),"")</f>
        <v>0.08</v>
      </c>
      <c r="G432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Master'!$F:$F,B432),"")</f>
        <v>143</v>
      </c>
      <c r="H432">
        <f>IF(AND(ISNUMBER(C432),C432&gt;='Bulk Calculator'!U39/('Bulk Calculator'!J39*'Bulk Calculator'!L39)),1,0)</f>
        <v>1</v>
      </c>
      <c r="I432">
        <f>IFERROR(IF(AND(ISNUMBER(E432),ISNUMBER(F432),E432&gt;0,F432&gt;0),SQRT(3)*'Bulk Calculator'!O39*'Bulk Calculator'!AA39*((E432*'Bulk Calculator'!Q39)+(F432*SQRT(1-'Bulk Calculator'!Q39^2)))/'Bulk Calculator'!J39/'Bulk Calculator'!K39*100,D432*'Bulk Calculator'!AA39*'Bulk Calculator'!O39/'Bulk Calculator'!J39/'Bulk Calculator'!K39*100),"")</f>
        <v>0</v>
      </c>
      <c r="J432">
        <f>IFERROR(IF(AND(ISNUMBER(E432),ISNUMBER(F432),E432&gt;0,F432&gt;0),SQRT(3)*'Bulk Calculator'!O39*'Bulk Calculator'!U39*((E432*'Bulk Calculator'!M39)+(F432*SQRT(1-'Bulk Calculator'!M39^2)))/'Bulk Calculator'!J39/'Bulk Calculator'!K39*100,D432*'Bulk Calculator'!U39*'Bulk Calculator'!O39/'Bulk Calculator'!J39/'Bulk Calculator'!K39*100),"")</f>
        <v>0</v>
      </c>
      <c r="K432">
        <f>IFERROR(G432*B432*'Bulk Calculator'!J39/SQRT('Bulk Calculator'!S39)/1000,"")</f>
        <v>7.9939430195617485</v>
      </c>
      <c r="L432">
        <f>IF(OR('Bulk Calculator'!R39="",'Bulk Calculator'!S39="",G432=""),0,IF(K432&gt;='Bulk Calculator'!R39,1,0))</f>
        <v>1</v>
      </c>
      <c r="M432">
        <f>IF(AND(H432=1,I432&lt;='OS-DORAEN'!$B$6,J432&lt;='OS-DORAEN'!$B$5,L432=1),1,0)</f>
        <v>1</v>
      </c>
      <c r="N432" t="str">
        <f t="shared" si="6"/>
        <v>R/X</v>
      </c>
    </row>
    <row r="433" spans="1:14" ht="15" customHeight="1" x14ac:dyDescent="0.35">
      <c r="A433">
        <v>39</v>
      </c>
      <c r="B433">
        <v>16</v>
      </c>
      <c r="C433">
        <f>IFERROR(SUMIFS('Cable Data Master'!$G:$G,'Cable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Master'!$F:$F,B433),"")</f>
        <v>0</v>
      </c>
      <c r="D433">
        <f>IFERROR(SUMIFS('Cable Data Master'!$K:$K,'Cable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Master'!$F:$F,B433),"")</f>
        <v>0</v>
      </c>
      <c r="E433">
        <f>IFERROR(SUMIFS('Cable Data Master'!$H:$H,'Cable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Master'!$F:$F,B433),"")</f>
        <v>0</v>
      </c>
      <c r="F433">
        <f>IFERROR(SUMIFS('Cable Data Master'!$I:$I,'Cable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Master'!$F:$F,B433),"")</f>
        <v>0</v>
      </c>
      <c r="G433">
        <f>IFERROR(SUMIFS('Cable Data Master'!$J:$J,'Cable Data Master'!$A:$A,'Bulk Calculator'!$BF39,'Cable Data Master'!$B:$B,'Bulk Calculator'!$BG39,'Cable Data Master'!$C:$C,'Bulk Calculator'!$BH39,'Cable Data Master'!$D:$D,'Bulk Calculator'!$BI39,'Cable Data Master'!$E:$E,'Bulk Calculator'!$BJ39,'Cable Data Master'!$F:$F,B433),"")</f>
        <v>0</v>
      </c>
      <c r="H433">
        <f>IF(AND(ISNUMBER(C433),C433&gt;='Bulk Calculator'!U39/('Bulk Calculator'!J39*'Bulk Calculator'!L39)),1,0)</f>
        <v>1</v>
      </c>
      <c r="I433">
        <f>IFERROR(IF(AND(ISNUMBER(E433),ISNUMBER(F433),E433&gt;0,F433&gt;0),SQRT(3)*'Bulk Calculator'!O39*'Bulk Calculator'!AA39*((E433*'Bulk Calculator'!Q39)+(F433*SQRT(1-'Bulk Calculator'!Q39^2)))/'Bulk Calculator'!J39/'Bulk Calculator'!K39*100,D433*'Bulk Calculator'!AA39*'Bulk Calculator'!O39/'Bulk Calculator'!J39/'Bulk Calculator'!K39*100),"")</f>
        <v>0</v>
      </c>
      <c r="J433">
        <f>IFERROR(IF(AND(ISNUMBER(E433),ISNUMBER(F433),E433&gt;0,F433&gt;0),SQRT(3)*'Bulk Calculator'!O39*'Bulk Calculator'!U39*((E433*'Bulk Calculator'!M39)+(F433*SQRT(1-'Bulk Calculator'!M39^2)))/'Bulk Calculator'!J39/'Bulk Calculator'!K39*100,D433*'Bulk Calculator'!U39*'Bulk Calculator'!O39/'Bulk Calculator'!J39/'Bulk Calculator'!K39*100),"")</f>
        <v>0</v>
      </c>
      <c r="K433">
        <f>IFERROR(G433*B433*'Bulk Calculator'!J39/SQRT('Bulk Calculator'!S39)/1000,"")</f>
        <v>0</v>
      </c>
      <c r="L433">
        <f>IF(OR('Bulk Calculator'!R39="",'Bulk Calculator'!S39="",G433=""),0,IF(K433&gt;='Bulk Calculator'!R39,1,0))</f>
        <v>1</v>
      </c>
      <c r="M433">
        <f>IF(AND(H433=1,I433&lt;='OS-DORAEN'!$B$6,J433&lt;='OS-DORAEN'!$B$5,L433=1),1,0)</f>
        <v>1</v>
      </c>
      <c r="N433" t="str">
        <f t="shared" si="6"/>
        <v>Manufacturer VD Ref</v>
      </c>
    </row>
    <row r="434" spans="1:14" ht="15" customHeight="1" x14ac:dyDescent="0.35">
      <c r="A434">
        <v>40</v>
      </c>
      <c r="B434">
        <v>400</v>
      </c>
      <c r="C434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Master'!$F:$F,B434),"")</f>
        <v>530</v>
      </c>
      <c r="D434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Master'!$F:$F,B434),"")</f>
        <v>0.1023</v>
      </c>
      <c r="E434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Master'!$F:$F,B434),"")</f>
        <v>0.1023</v>
      </c>
      <c r="F434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Master'!$F:$F,B434),"")</f>
        <v>7.0000000000000007E-2</v>
      </c>
      <c r="G434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Master'!$F:$F,B434),"")</f>
        <v>143</v>
      </c>
      <c r="H434">
        <f>IF(AND(ISNUMBER(C434),C434&gt;='Bulk Calculator'!U40/('Bulk Calculator'!J40*'Bulk Calculator'!L40)),1,0)</f>
        <v>1</v>
      </c>
      <c r="I434">
        <f>IFERROR(IF(AND(ISNUMBER(E434),ISNUMBER(F434),E434&gt;0,F434&gt;0),SQRT(3)*'Bulk Calculator'!O40*'Bulk Calculator'!AA40*((E434*'Bulk Calculator'!Q40)+(F434*SQRT(1-'Bulk Calculator'!Q40^2)))/'Bulk Calculator'!J40/'Bulk Calculator'!K40*100,D434*'Bulk Calculator'!AA40*'Bulk Calculator'!O40/'Bulk Calculator'!J40/'Bulk Calculator'!K40*100),"")</f>
        <v>0</v>
      </c>
      <c r="J434">
        <f>IFERROR(IF(AND(ISNUMBER(E434),ISNUMBER(F434),E434&gt;0,F434&gt;0),SQRT(3)*'Bulk Calculator'!O40*'Bulk Calculator'!U40*((E434*'Bulk Calculator'!M40)+(F434*SQRT(1-'Bulk Calculator'!M40^2)))/'Bulk Calculator'!J40/'Bulk Calculator'!K40*100,D434*'Bulk Calculator'!U40*'Bulk Calculator'!O40/'Bulk Calculator'!J40/'Bulk Calculator'!K40*100),"")</f>
        <v>0</v>
      </c>
      <c r="K434">
        <f>IFERROR(G434*B434*'Bulk Calculator'!J40/SQRT('Bulk Calculator'!S40)/1000,"")</f>
        <v>127.90308831298798</v>
      </c>
      <c r="L434">
        <f>IF(OR('Bulk Calculator'!R40="",'Bulk Calculator'!S40="",G434=""),0,IF(K434&gt;='Bulk Calculator'!R40,1,0))</f>
        <v>1</v>
      </c>
      <c r="M434">
        <f>IF(AND(H434=1,I434&lt;='OS-DORAEN'!$B$6,J434&lt;='OS-DORAEN'!$B$5,L434=1),1,0)</f>
        <v>1</v>
      </c>
      <c r="N434" t="str">
        <f t="shared" si="6"/>
        <v>R/X</v>
      </c>
    </row>
    <row r="435" spans="1:14" ht="15" customHeight="1" x14ac:dyDescent="0.35">
      <c r="A435">
        <v>40</v>
      </c>
      <c r="B435">
        <v>300</v>
      </c>
      <c r="C435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Master'!$F:$F,B435),"")</f>
        <v>455</v>
      </c>
      <c r="D435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Master'!$F:$F,B435),"")</f>
        <v>0.13</v>
      </c>
      <c r="E435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Master'!$F:$F,B435),"")</f>
        <v>0.13</v>
      </c>
      <c r="F435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Master'!$F:$F,B435),"")</f>
        <v>7.0999999999999994E-2</v>
      </c>
      <c r="G435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Master'!$F:$F,B435),"")</f>
        <v>143</v>
      </c>
      <c r="H435">
        <f>IF(AND(ISNUMBER(C435),C435&gt;='Bulk Calculator'!U40/('Bulk Calculator'!J40*'Bulk Calculator'!L40)),1,0)</f>
        <v>1</v>
      </c>
      <c r="I435">
        <f>IFERROR(IF(AND(ISNUMBER(E435),ISNUMBER(F435),E435&gt;0,F435&gt;0),SQRT(3)*'Bulk Calculator'!O40*'Bulk Calculator'!AA40*((E435*'Bulk Calculator'!Q40)+(F435*SQRT(1-'Bulk Calculator'!Q40^2)))/'Bulk Calculator'!J40/'Bulk Calculator'!K40*100,D435*'Bulk Calculator'!AA40*'Bulk Calculator'!O40/'Bulk Calculator'!J40/'Bulk Calculator'!K40*100),"")</f>
        <v>0</v>
      </c>
      <c r="J435">
        <f>IFERROR(IF(AND(ISNUMBER(E435),ISNUMBER(F435),E435&gt;0,F435&gt;0),SQRT(3)*'Bulk Calculator'!O40*'Bulk Calculator'!U40*((E435*'Bulk Calculator'!M40)+(F435*SQRT(1-'Bulk Calculator'!M40^2)))/'Bulk Calculator'!J40/'Bulk Calculator'!K40*100,D435*'Bulk Calculator'!U40*'Bulk Calculator'!O40/'Bulk Calculator'!J40/'Bulk Calculator'!K40*100),"")</f>
        <v>0</v>
      </c>
      <c r="K435">
        <f>IFERROR(G435*B435*'Bulk Calculator'!J40/SQRT('Bulk Calculator'!S40)/1000,"")</f>
        <v>95.927316234740985</v>
      </c>
      <c r="L435">
        <f>IF(OR('Bulk Calculator'!R40="",'Bulk Calculator'!S40="",G435=""),0,IF(K435&gt;='Bulk Calculator'!R40,1,0))</f>
        <v>1</v>
      </c>
      <c r="M435">
        <f>IF(AND(H435=1,I435&lt;='OS-DORAEN'!$B$6,J435&lt;='OS-DORAEN'!$B$5,L435=1),1,0)</f>
        <v>1</v>
      </c>
      <c r="N435" t="str">
        <f t="shared" si="6"/>
        <v>R/X</v>
      </c>
    </row>
    <row r="436" spans="1:14" ht="15" customHeight="1" x14ac:dyDescent="0.35">
      <c r="A436">
        <v>40</v>
      </c>
      <c r="B436">
        <v>240</v>
      </c>
      <c r="C436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Master'!$F:$F,B436),"")</f>
        <v>399</v>
      </c>
      <c r="D436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Master'!$F:$F,B436),"")</f>
        <v>0.16200000000000001</v>
      </c>
      <c r="E436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Master'!$F:$F,B436),"")</f>
        <v>0.16200000000000001</v>
      </c>
      <c r="F436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Master'!$F:$F,B436),"")</f>
        <v>7.1999999999999995E-2</v>
      </c>
      <c r="G436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Master'!$F:$F,B436),"")</f>
        <v>143</v>
      </c>
      <c r="H436">
        <f>IF(AND(ISNUMBER(C436),C436&gt;='Bulk Calculator'!U40/('Bulk Calculator'!J40*'Bulk Calculator'!L40)),1,0)</f>
        <v>1</v>
      </c>
      <c r="I436">
        <f>IFERROR(IF(AND(ISNUMBER(E436),ISNUMBER(F436),E436&gt;0,F436&gt;0),SQRT(3)*'Bulk Calculator'!O40*'Bulk Calculator'!AA40*((E436*'Bulk Calculator'!Q40)+(F436*SQRT(1-'Bulk Calculator'!Q40^2)))/'Bulk Calculator'!J40/'Bulk Calculator'!K40*100,D436*'Bulk Calculator'!AA40*'Bulk Calculator'!O40/'Bulk Calculator'!J40/'Bulk Calculator'!K40*100),"")</f>
        <v>0</v>
      </c>
      <c r="J436">
        <f>IFERROR(IF(AND(ISNUMBER(E436),ISNUMBER(F436),E436&gt;0,F436&gt;0),SQRT(3)*'Bulk Calculator'!O40*'Bulk Calculator'!U40*((E436*'Bulk Calculator'!M40)+(F436*SQRT(1-'Bulk Calculator'!M40^2)))/'Bulk Calculator'!J40/'Bulk Calculator'!K40*100,D436*'Bulk Calculator'!U40*'Bulk Calculator'!O40/'Bulk Calculator'!J40/'Bulk Calculator'!K40*100),"")</f>
        <v>0</v>
      </c>
      <c r="K436">
        <f>IFERROR(G436*B436*'Bulk Calculator'!J40/SQRT('Bulk Calculator'!S40)/1000,"")</f>
        <v>76.741852987792782</v>
      </c>
      <c r="L436">
        <f>IF(OR('Bulk Calculator'!R40="",'Bulk Calculator'!S40="",G436=""),0,IF(K436&gt;='Bulk Calculator'!R40,1,0))</f>
        <v>1</v>
      </c>
      <c r="M436">
        <f>IF(AND(H436=1,I436&lt;='OS-DORAEN'!$B$6,J436&lt;='OS-DORAEN'!$B$5,L436=1),1,0)</f>
        <v>1</v>
      </c>
      <c r="N436" t="str">
        <f t="shared" si="6"/>
        <v>R/X</v>
      </c>
    </row>
    <row r="437" spans="1:14" ht="15" customHeight="1" x14ac:dyDescent="0.35">
      <c r="A437">
        <v>40</v>
      </c>
      <c r="B437">
        <v>185</v>
      </c>
      <c r="C437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Master'!$F:$F,B437),"")</f>
        <v>337</v>
      </c>
      <c r="D437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Master'!$F:$F,B437),"")</f>
        <v>0.21099999999999999</v>
      </c>
      <c r="E437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Master'!$F:$F,B437),"")</f>
        <v>0.21099999999999999</v>
      </c>
      <c r="F437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Master'!$F:$F,B437),"")</f>
        <v>7.1999999999999995E-2</v>
      </c>
      <c r="G437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Master'!$F:$F,B437),"")</f>
        <v>143</v>
      </c>
      <c r="H437">
        <f>IF(AND(ISNUMBER(C437),C437&gt;='Bulk Calculator'!U40/('Bulk Calculator'!J40*'Bulk Calculator'!L40)),1,0)</f>
        <v>1</v>
      </c>
      <c r="I437">
        <f>IFERROR(IF(AND(ISNUMBER(E437),ISNUMBER(F437),E437&gt;0,F437&gt;0),SQRT(3)*'Bulk Calculator'!O40*'Bulk Calculator'!AA40*((E437*'Bulk Calculator'!Q40)+(F437*SQRT(1-'Bulk Calculator'!Q40^2)))/'Bulk Calculator'!J40/'Bulk Calculator'!K40*100,D437*'Bulk Calculator'!AA40*'Bulk Calculator'!O40/'Bulk Calculator'!J40/'Bulk Calculator'!K40*100),"")</f>
        <v>0</v>
      </c>
      <c r="J437">
        <f>IFERROR(IF(AND(ISNUMBER(E437),ISNUMBER(F437),E437&gt;0,F437&gt;0),SQRT(3)*'Bulk Calculator'!O40*'Bulk Calculator'!U40*((E437*'Bulk Calculator'!M40)+(F437*SQRT(1-'Bulk Calculator'!M40^2)))/'Bulk Calculator'!J40/'Bulk Calculator'!K40*100,D437*'Bulk Calculator'!U40*'Bulk Calculator'!O40/'Bulk Calculator'!J40/'Bulk Calculator'!K40*100),"")</f>
        <v>0</v>
      </c>
      <c r="K437">
        <f>IFERROR(G437*B437*'Bulk Calculator'!J40/SQRT('Bulk Calculator'!S40)/1000,"")</f>
        <v>59.155178344756941</v>
      </c>
      <c r="L437">
        <f>IF(OR('Bulk Calculator'!R40="",'Bulk Calculator'!S40="",G437=""),0,IF(K437&gt;='Bulk Calculator'!R40,1,0))</f>
        <v>1</v>
      </c>
      <c r="M437">
        <f>IF(AND(H437=1,I437&lt;='OS-DORAEN'!$B$6,J437&lt;='OS-DORAEN'!$B$5,L437=1),1,0)</f>
        <v>1</v>
      </c>
      <c r="N437" t="str">
        <f t="shared" si="6"/>
        <v>R/X</v>
      </c>
    </row>
    <row r="438" spans="1:14" ht="15" customHeight="1" x14ac:dyDescent="0.35">
      <c r="A438">
        <v>40</v>
      </c>
      <c r="B438">
        <v>150</v>
      </c>
      <c r="C438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Master'!$F:$F,B438),"")</f>
        <v>292</v>
      </c>
      <c r="D438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Master'!$F:$F,B438),"")</f>
        <v>0.26500000000000001</v>
      </c>
      <c r="E438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Master'!$F:$F,B438),"")</f>
        <v>0.26500000000000001</v>
      </c>
      <c r="F438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Master'!$F:$F,B438),"")</f>
        <v>7.1999999999999995E-2</v>
      </c>
      <c r="G438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Master'!$F:$F,B438),"")</f>
        <v>143</v>
      </c>
      <c r="H438">
        <f>IF(AND(ISNUMBER(C438),C438&gt;='Bulk Calculator'!U40/('Bulk Calculator'!J40*'Bulk Calculator'!L40)),1,0)</f>
        <v>1</v>
      </c>
      <c r="I438">
        <f>IFERROR(IF(AND(ISNUMBER(E438),ISNUMBER(F438),E438&gt;0,F438&gt;0),SQRT(3)*'Bulk Calculator'!O40*'Bulk Calculator'!AA40*((E438*'Bulk Calculator'!Q40)+(F438*SQRT(1-'Bulk Calculator'!Q40^2)))/'Bulk Calculator'!J40/'Bulk Calculator'!K40*100,D438*'Bulk Calculator'!AA40*'Bulk Calculator'!O40/'Bulk Calculator'!J40/'Bulk Calculator'!K40*100),"")</f>
        <v>0</v>
      </c>
      <c r="J438">
        <f>IFERROR(IF(AND(ISNUMBER(E438),ISNUMBER(F438),E438&gt;0,F438&gt;0),SQRT(3)*'Bulk Calculator'!O40*'Bulk Calculator'!U40*((E438*'Bulk Calculator'!M40)+(F438*SQRT(1-'Bulk Calculator'!M40^2)))/'Bulk Calculator'!J40/'Bulk Calculator'!K40*100,D438*'Bulk Calculator'!U40*'Bulk Calculator'!O40/'Bulk Calculator'!J40/'Bulk Calculator'!K40*100),"")</f>
        <v>0</v>
      </c>
      <c r="K438">
        <f>IFERROR(G438*B438*'Bulk Calculator'!J40/SQRT('Bulk Calculator'!S40)/1000,"")</f>
        <v>47.963658117370493</v>
      </c>
      <c r="L438">
        <f>IF(OR('Bulk Calculator'!R40="",'Bulk Calculator'!S40="",G438=""),0,IF(K438&gt;='Bulk Calculator'!R40,1,0))</f>
        <v>1</v>
      </c>
      <c r="M438">
        <f>IF(AND(H438=1,I438&lt;='OS-DORAEN'!$B$6,J438&lt;='OS-DORAEN'!$B$5,L438=1),1,0)</f>
        <v>1</v>
      </c>
      <c r="N438" t="str">
        <f t="shared" si="6"/>
        <v>R/X</v>
      </c>
    </row>
    <row r="439" spans="1:14" ht="15" customHeight="1" x14ac:dyDescent="0.35">
      <c r="A439">
        <v>40</v>
      </c>
      <c r="B439">
        <v>120</v>
      </c>
      <c r="C439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Master'!$F:$F,B439),"")</f>
        <v>257</v>
      </c>
      <c r="D439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Master'!$F:$F,B439),"")</f>
        <v>0.32500000000000001</v>
      </c>
      <c r="E439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Master'!$F:$F,B439),"")</f>
        <v>0.32500000000000001</v>
      </c>
      <c r="F439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Master'!$F:$F,B439),"")</f>
        <v>7.1999999999999995E-2</v>
      </c>
      <c r="G439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Master'!$F:$F,B439),"")</f>
        <v>143</v>
      </c>
      <c r="H439">
        <f>IF(AND(ISNUMBER(C439),C439&gt;='Bulk Calculator'!U40/('Bulk Calculator'!J40*'Bulk Calculator'!L40)),1,0)</f>
        <v>1</v>
      </c>
      <c r="I439">
        <f>IFERROR(IF(AND(ISNUMBER(E439),ISNUMBER(F439),E439&gt;0,F439&gt;0),SQRT(3)*'Bulk Calculator'!O40*'Bulk Calculator'!AA40*((E439*'Bulk Calculator'!Q40)+(F439*SQRT(1-'Bulk Calculator'!Q40^2)))/'Bulk Calculator'!J40/'Bulk Calculator'!K40*100,D439*'Bulk Calculator'!AA40*'Bulk Calculator'!O40/'Bulk Calculator'!J40/'Bulk Calculator'!K40*100),"")</f>
        <v>0</v>
      </c>
      <c r="J439">
        <f>IFERROR(IF(AND(ISNUMBER(E439),ISNUMBER(F439),E439&gt;0,F439&gt;0),SQRT(3)*'Bulk Calculator'!O40*'Bulk Calculator'!U40*((E439*'Bulk Calculator'!M40)+(F439*SQRT(1-'Bulk Calculator'!M40^2)))/'Bulk Calculator'!J40/'Bulk Calculator'!K40*100,D439*'Bulk Calculator'!U40*'Bulk Calculator'!O40/'Bulk Calculator'!J40/'Bulk Calculator'!K40*100),"")</f>
        <v>0</v>
      </c>
      <c r="K439">
        <f>IFERROR(G439*B439*'Bulk Calculator'!J40/SQRT('Bulk Calculator'!S40)/1000,"")</f>
        <v>38.370926493896391</v>
      </c>
      <c r="L439">
        <f>IF(OR('Bulk Calculator'!R40="",'Bulk Calculator'!S40="",G439=""),0,IF(K439&gt;='Bulk Calculator'!R40,1,0))</f>
        <v>1</v>
      </c>
      <c r="M439">
        <f>IF(AND(H439=1,I439&lt;='OS-DORAEN'!$B$6,J439&lt;='OS-DORAEN'!$B$5,L439=1),1,0)</f>
        <v>1</v>
      </c>
      <c r="N439" t="str">
        <f t="shared" si="6"/>
        <v>R/X</v>
      </c>
    </row>
    <row r="440" spans="1:14" ht="15" customHeight="1" x14ac:dyDescent="0.35">
      <c r="A440">
        <v>40</v>
      </c>
      <c r="B440">
        <v>95</v>
      </c>
      <c r="C440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Master'!$F:$F,B440),"")</f>
        <v>221</v>
      </c>
      <c r="D440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Master'!$F:$F,B440),"")</f>
        <v>0.41</v>
      </c>
      <c r="E440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Master'!$F:$F,B440),"")</f>
        <v>0.41</v>
      </c>
      <c r="F440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Master'!$F:$F,B440),"")</f>
        <v>7.3999999999999996E-2</v>
      </c>
      <c r="G440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Master'!$F:$F,B440),"")</f>
        <v>143</v>
      </c>
      <c r="H440">
        <f>IF(AND(ISNUMBER(C440),C440&gt;='Bulk Calculator'!U40/('Bulk Calculator'!J40*'Bulk Calculator'!L40)),1,0)</f>
        <v>1</v>
      </c>
      <c r="I440">
        <f>IFERROR(IF(AND(ISNUMBER(E440),ISNUMBER(F440),E440&gt;0,F440&gt;0),SQRT(3)*'Bulk Calculator'!O40*'Bulk Calculator'!AA40*((E440*'Bulk Calculator'!Q40)+(F440*SQRT(1-'Bulk Calculator'!Q40^2)))/'Bulk Calculator'!J40/'Bulk Calculator'!K40*100,D440*'Bulk Calculator'!AA40*'Bulk Calculator'!O40/'Bulk Calculator'!J40/'Bulk Calculator'!K40*100),"")</f>
        <v>0</v>
      </c>
      <c r="J440">
        <f>IFERROR(IF(AND(ISNUMBER(E440),ISNUMBER(F440),E440&gt;0,F440&gt;0),SQRT(3)*'Bulk Calculator'!O40*'Bulk Calculator'!U40*((E440*'Bulk Calculator'!M40)+(F440*SQRT(1-'Bulk Calculator'!M40^2)))/'Bulk Calculator'!J40/'Bulk Calculator'!K40*100,D440*'Bulk Calculator'!U40*'Bulk Calculator'!O40/'Bulk Calculator'!J40/'Bulk Calculator'!K40*100),"")</f>
        <v>0</v>
      </c>
      <c r="K440">
        <f>IFERROR(G440*B440*'Bulk Calculator'!J40/SQRT('Bulk Calculator'!S40)/1000,"")</f>
        <v>30.376983474334644</v>
      </c>
      <c r="L440">
        <f>IF(OR('Bulk Calculator'!R40="",'Bulk Calculator'!S40="",G440=""),0,IF(K440&gt;='Bulk Calculator'!R40,1,0))</f>
        <v>1</v>
      </c>
      <c r="M440">
        <f>IF(AND(H440=1,I440&lt;='OS-DORAEN'!$B$6,J440&lt;='OS-DORAEN'!$B$5,L440=1),1,0)</f>
        <v>1</v>
      </c>
      <c r="N440" t="str">
        <f t="shared" si="6"/>
        <v>R/X</v>
      </c>
    </row>
    <row r="441" spans="1:14" ht="15" customHeight="1" x14ac:dyDescent="0.35">
      <c r="A441">
        <v>40</v>
      </c>
      <c r="B441">
        <v>70</v>
      </c>
      <c r="C441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Master'!$F:$F,B441),"")</f>
        <v>179</v>
      </c>
      <c r="D441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Master'!$F:$F,B441),"")</f>
        <v>0.56699999999999995</v>
      </c>
      <c r="E441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Master'!$F:$F,B441),"")</f>
        <v>0.56699999999999995</v>
      </c>
      <c r="F441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Master'!$F:$F,B441),"")</f>
        <v>7.6999999999999999E-2</v>
      </c>
      <c r="G441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Master'!$F:$F,B441),"")</f>
        <v>143</v>
      </c>
      <c r="H441">
        <f>IF(AND(ISNUMBER(C441),C441&gt;='Bulk Calculator'!U40/('Bulk Calculator'!J40*'Bulk Calculator'!L40)),1,0)</f>
        <v>1</v>
      </c>
      <c r="I441">
        <f>IFERROR(IF(AND(ISNUMBER(E441),ISNUMBER(F441),E441&gt;0,F441&gt;0),SQRT(3)*'Bulk Calculator'!O40*'Bulk Calculator'!AA40*((E441*'Bulk Calculator'!Q40)+(F441*SQRT(1-'Bulk Calculator'!Q40^2)))/'Bulk Calculator'!J40/'Bulk Calculator'!K40*100,D441*'Bulk Calculator'!AA40*'Bulk Calculator'!O40/'Bulk Calculator'!J40/'Bulk Calculator'!K40*100),"")</f>
        <v>0</v>
      </c>
      <c r="J441">
        <f>IFERROR(IF(AND(ISNUMBER(E441),ISNUMBER(F441),E441&gt;0,F441&gt;0),SQRT(3)*'Bulk Calculator'!O40*'Bulk Calculator'!U40*((E441*'Bulk Calculator'!M40)+(F441*SQRT(1-'Bulk Calculator'!M40^2)))/'Bulk Calculator'!J40/'Bulk Calculator'!K40*100,D441*'Bulk Calculator'!U40*'Bulk Calculator'!O40/'Bulk Calculator'!J40/'Bulk Calculator'!K40*100),"")</f>
        <v>0</v>
      </c>
      <c r="K441">
        <f>IFERROR(G441*B441*'Bulk Calculator'!J40/SQRT('Bulk Calculator'!S40)/1000,"")</f>
        <v>22.383040454772893</v>
      </c>
      <c r="L441">
        <f>IF(OR('Bulk Calculator'!R40="",'Bulk Calculator'!S40="",G441=""),0,IF(K441&gt;='Bulk Calculator'!R40,1,0))</f>
        <v>1</v>
      </c>
      <c r="M441">
        <f>IF(AND(H441=1,I441&lt;='OS-DORAEN'!$B$6,J441&lt;='OS-DORAEN'!$B$5,L441=1),1,0)</f>
        <v>1</v>
      </c>
      <c r="N441" t="str">
        <f t="shared" si="6"/>
        <v>R/X</v>
      </c>
    </row>
    <row r="442" spans="1:14" ht="15" customHeight="1" x14ac:dyDescent="0.35">
      <c r="A442">
        <v>40</v>
      </c>
      <c r="B442">
        <v>50</v>
      </c>
      <c r="C442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Master'!$F:$F,B442),"")</f>
        <v>142</v>
      </c>
      <c r="D442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Master'!$F:$F,B442),"")</f>
        <v>0.82</v>
      </c>
      <c r="E442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Master'!$F:$F,B442),"")</f>
        <v>0.82</v>
      </c>
      <c r="F442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Master'!$F:$F,B442),"")</f>
        <v>7.8E-2</v>
      </c>
      <c r="G442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Master'!$F:$F,B442),"")</f>
        <v>143</v>
      </c>
      <c r="H442">
        <f>IF(AND(ISNUMBER(C442),C442&gt;='Bulk Calculator'!U40/('Bulk Calculator'!J40*'Bulk Calculator'!L40)),1,0)</f>
        <v>1</v>
      </c>
      <c r="I442">
        <f>IFERROR(IF(AND(ISNUMBER(E442),ISNUMBER(F442),E442&gt;0,F442&gt;0),SQRT(3)*'Bulk Calculator'!O40*'Bulk Calculator'!AA40*((E442*'Bulk Calculator'!Q40)+(F442*SQRT(1-'Bulk Calculator'!Q40^2)))/'Bulk Calculator'!J40/'Bulk Calculator'!K40*100,D442*'Bulk Calculator'!AA40*'Bulk Calculator'!O40/'Bulk Calculator'!J40/'Bulk Calculator'!K40*100),"")</f>
        <v>0</v>
      </c>
      <c r="J442">
        <f>IFERROR(IF(AND(ISNUMBER(E442),ISNUMBER(F442),E442&gt;0,F442&gt;0),SQRT(3)*'Bulk Calculator'!O40*'Bulk Calculator'!U40*((E442*'Bulk Calculator'!M40)+(F442*SQRT(1-'Bulk Calculator'!M40^2)))/'Bulk Calculator'!J40/'Bulk Calculator'!K40*100,D442*'Bulk Calculator'!U40*'Bulk Calculator'!O40/'Bulk Calculator'!J40/'Bulk Calculator'!K40*100),"")</f>
        <v>0</v>
      </c>
      <c r="K442">
        <f>IFERROR(G442*B442*'Bulk Calculator'!J40/SQRT('Bulk Calculator'!S40)/1000,"")</f>
        <v>15.987886039123497</v>
      </c>
      <c r="L442">
        <f>IF(OR('Bulk Calculator'!R40="",'Bulk Calculator'!S40="",G442=""),0,IF(K442&gt;='Bulk Calculator'!R40,1,0))</f>
        <v>1</v>
      </c>
      <c r="M442">
        <f>IF(AND(H442=1,I442&lt;='OS-DORAEN'!$B$6,J442&lt;='OS-DORAEN'!$B$5,L442=1),1,0)</f>
        <v>1</v>
      </c>
      <c r="N442" t="str">
        <f t="shared" si="6"/>
        <v>R/X</v>
      </c>
    </row>
    <row r="443" spans="1:14" ht="15" customHeight="1" x14ac:dyDescent="0.35">
      <c r="A443">
        <v>40</v>
      </c>
      <c r="B443">
        <v>35</v>
      </c>
      <c r="C443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Master'!$F:$F,B443),"")</f>
        <v>117</v>
      </c>
      <c r="D443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Master'!$F:$F,B443),"")</f>
        <v>1.1100000000000001</v>
      </c>
      <c r="E443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Master'!$F:$F,B443),"")</f>
        <v>1.1100000000000001</v>
      </c>
      <c r="F443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Master'!$F:$F,B443),"")</f>
        <v>0.08</v>
      </c>
      <c r="G443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Master'!$F:$F,B443),"")</f>
        <v>143</v>
      </c>
      <c r="H443">
        <f>IF(AND(ISNUMBER(C443),C443&gt;='Bulk Calculator'!U40/('Bulk Calculator'!J40*'Bulk Calculator'!L40)),1,0)</f>
        <v>1</v>
      </c>
      <c r="I443">
        <f>IFERROR(IF(AND(ISNUMBER(E443),ISNUMBER(F443),E443&gt;0,F443&gt;0),SQRT(3)*'Bulk Calculator'!O40*'Bulk Calculator'!AA40*((E443*'Bulk Calculator'!Q40)+(F443*SQRT(1-'Bulk Calculator'!Q40^2)))/'Bulk Calculator'!J40/'Bulk Calculator'!K40*100,D443*'Bulk Calculator'!AA40*'Bulk Calculator'!O40/'Bulk Calculator'!J40/'Bulk Calculator'!K40*100),"")</f>
        <v>0</v>
      </c>
      <c r="J443">
        <f>IFERROR(IF(AND(ISNUMBER(E443),ISNUMBER(F443),E443&gt;0,F443&gt;0),SQRT(3)*'Bulk Calculator'!O40*'Bulk Calculator'!U40*((E443*'Bulk Calculator'!M40)+(F443*SQRT(1-'Bulk Calculator'!M40^2)))/'Bulk Calculator'!J40/'Bulk Calculator'!K40*100,D443*'Bulk Calculator'!U40*'Bulk Calculator'!O40/'Bulk Calculator'!J40/'Bulk Calculator'!K40*100),"")</f>
        <v>0</v>
      </c>
      <c r="K443">
        <f>IFERROR(G443*B443*'Bulk Calculator'!J40/SQRT('Bulk Calculator'!S40)/1000,"")</f>
        <v>11.191520227386446</v>
      </c>
      <c r="L443">
        <f>IF(OR('Bulk Calculator'!R40="",'Bulk Calculator'!S40="",G443=""),0,IF(K443&gt;='Bulk Calculator'!R40,1,0))</f>
        <v>1</v>
      </c>
      <c r="M443">
        <f>IF(AND(H443=1,I443&lt;='OS-DORAEN'!$B$6,J443&lt;='OS-DORAEN'!$B$5,L443=1),1,0)</f>
        <v>1</v>
      </c>
      <c r="N443" t="str">
        <f t="shared" si="6"/>
        <v>R/X</v>
      </c>
    </row>
    <row r="444" spans="1:14" ht="15" customHeight="1" x14ac:dyDescent="0.35">
      <c r="A444">
        <v>40</v>
      </c>
      <c r="B444">
        <v>25</v>
      </c>
      <c r="C444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Master'!$F:$F,B444),"")</f>
        <v>96</v>
      </c>
      <c r="D444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Master'!$F:$F,B444),"")</f>
        <v>1.54</v>
      </c>
      <c r="E444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Master'!$F:$F,B444),"")</f>
        <v>1.54</v>
      </c>
      <c r="F444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Master'!$F:$F,B444),"")</f>
        <v>0.08</v>
      </c>
      <c r="G444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Master'!$F:$F,B444),"")</f>
        <v>143</v>
      </c>
      <c r="H444">
        <f>IF(AND(ISNUMBER(C444),C444&gt;='Bulk Calculator'!U40/('Bulk Calculator'!J40*'Bulk Calculator'!L40)),1,0)</f>
        <v>1</v>
      </c>
      <c r="I444">
        <f>IFERROR(IF(AND(ISNUMBER(E444),ISNUMBER(F444),E444&gt;0,F444&gt;0),SQRT(3)*'Bulk Calculator'!O40*'Bulk Calculator'!AA40*((E444*'Bulk Calculator'!Q40)+(F444*SQRT(1-'Bulk Calculator'!Q40^2)))/'Bulk Calculator'!J40/'Bulk Calculator'!K40*100,D444*'Bulk Calculator'!AA40*'Bulk Calculator'!O40/'Bulk Calculator'!J40/'Bulk Calculator'!K40*100),"")</f>
        <v>0</v>
      </c>
      <c r="J444">
        <f>IFERROR(IF(AND(ISNUMBER(E444),ISNUMBER(F444),E444&gt;0,F444&gt;0),SQRT(3)*'Bulk Calculator'!O40*'Bulk Calculator'!U40*((E444*'Bulk Calculator'!M40)+(F444*SQRT(1-'Bulk Calculator'!M40^2)))/'Bulk Calculator'!J40/'Bulk Calculator'!K40*100,D444*'Bulk Calculator'!U40*'Bulk Calculator'!O40/'Bulk Calculator'!J40/'Bulk Calculator'!K40*100),"")</f>
        <v>0</v>
      </c>
      <c r="K444">
        <f>IFERROR(G444*B444*'Bulk Calculator'!J40/SQRT('Bulk Calculator'!S40)/1000,"")</f>
        <v>7.9939430195617485</v>
      </c>
      <c r="L444">
        <f>IF(OR('Bulk Calculator'!R40="",'Bulk Calculator'!S40="",G444=""),0,IF(K444&gt;='Bulk Calculator'!R40,1,0))</f>
        <v>1</v>
      </c>
      <c r="M444">
        <f>IF(AND(H444=1,I444&lt;='OS-DORAEN'!$B$6,J444&lt;='OS-DORAEN'!$B$5,L444=1),1,0)</f>
        <v>1</v>
      </c>
      <c r="N444" t="str">
        <f t="shared" si="6"/>
        <v>R/X</v>
      </c>
    </row>
    <row r="445" spans="1:14" ht="15" customHeight="1" x14ac:dyDescent="0.35">
      <c r="A445">
        <v>40</v>
      </c>
      <c r="B445">
        <v>16</v>
      </c>
      <c r="C445">
        <f>IFERROR(SUMIFS('Cable Data Master'!$G:$G,'Cable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Master'!$F:$F,B445),"")</f>
        <v>0</v>
      </c>
      <c r="D445">
        <f>IFERROR(SUMIFS('Cable Data Master'!$K:$K,'Cable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Master'!$F:$F,B445),"")</f>
        <v>0</v>
      </c>
      <c r="E445">
        <f>IFERROR(SUMIFS('Cable Data Master'!$H:$H,'Cable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Master'!$F:$F,B445),"")</f>
        <v>0</v>
      </c>
      <c r="F445">
        <f>IFERROR(SUMIFS('Cable Data Master'!$I:$I,'Cable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Master'!$F:$F,B445),"")</f>
        <v>0</v>
      </c>
      <c r="G445">
        <f>IFERROR(SUMIFS('Cable Data Master'!$J:$J,'Cable Data Master'!$A:$A,'Bulk Calculator'!$BF40,'Cable Data Master'!$B:$B,'Bulk Calculator'!$BG40,'Cable Data Master'!$C:$C,'Bulk Calculator'!$BH40,'Cable Data Master'!$D:$D,'Bulk Calculator'!$BI40,'Cable Data Master'!$E:$E,'Bulk Calculator'!$BJ40,'Cable Data Master'!$F:$F,B445),"")</f>
        <v>0</v>
      </c>
      <c r="H445">
        <f>IF(AND(ISNUMBER(C445),C445&gt;='Bulk Calculator'!U40/('Bulk Calculator'!J40*'Bulk Calculator'!L40)),1,0)</f>
        <v>1</v>
      </c>
      <c r="I445">
        <f>IFERROR(IF(AND(ISNUMBER(E445),ISNUMBER(F445),E445&gt;0,F445&gt;0),SQRT(3)*'Bulk Calculator'!O40*'Bulk Calculator'!AA40*((E445*'Bulk Calculator'!Q40)+(F445*SQRT(1-'Bulk Calculator'!Q40^2)))/'Bulk Calculator'!J40/'Bulk Calculator'!K40*100,D445*'Bulk Calculator'!AA40*'Bulk Calculator'!O40/'Bulk Calculator'!J40/'Bulk Calculator'!K40*100),"")</f>
        <v>0</v>
      </c>
      <c r="J445">
        <f>IFERROR(IF(AND(ISNUMBER(E445),ISNUMBER(F445),E445&gt;0,F445&gt;0),SQRT(3)*'Bulk Calculator'!O40*'Bulk Calculator'!U40*((E445*'Bulk Calculator'!M40)+(F445*SQRT(1-'Bulk Calculator'!M40^2)))/'Bulk Calculator'!J40/'Bulk Calculator'!K40*100,D445*'Bulk Calculator'!U40*'Bulk Calculator'!O40/'Bulk Calculator'!J40/'Bulk Calculator'!K40*100),"")</f>
        <v>0</v>
      </c>
      <c r="K445">
        <f>IFERROR(G445*B445*'Bulk Calculator'!J40/SQRT('Bulk Calculator'!S40)/1000,"")</f>
        <v>0</v>
      </c>
      <c r="L445">
        <f>IF(OR('Bulk Calculator'!R40="",'Bulk Calculator'!S40="",G445=""),0,IF(K445&gt;='Bulk Calculator'!R40,1,0))</f>
        <v>1</v>
      </c>
      <c r="M445">
        <f>IF(AND(H445=1,I445&lt;='OS-DORAEN'!$B$6,J445&lt;='OS-DORAEN'!$B$5,L445=1),1,0)</f>
        <v>1</v>
      </c>
      <c r="N445" t="str">
        <f t="shared" si="6"/>
        <v>Manufacturer VD Ref</v>
      </c>
    </row>
    <row r="446" spans="1:14" ht="15" customHeight="1" x14ac:dyDescent="0.35">
      <c r="A446">
        <v>41</v>
      </c>
      <c r="B446">
        <v>400</v>
      </c>
      <c r="C446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Master'!$F:$F,B446),"")</f>
        <v>530</v>
      </c>
      <c r="D446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Master'!$F:$F,B446),"")</f>
        <v>0.1023</v>
      </c>
      <c r="E446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Master'!$F:$F,B446),"")</f>
        <v>0.1023</v>
      </c>
      <c r="F446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Master'!$F:$F,B446),"")</f>
        <v>7.0000000000000007E-2</v>
      </c>
      <c r="G446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Master'!$F:$F,B446),"")</f>
        <v>143</v>
      </c>
      <c r="H446">
        <f>IF(AND(ISNUMBER(C446),C446&gt;='Bulk Calculator'!U41/('Bulk Calculator'!J41*'Bulk Calculator'!L41)),1,0)</f>
        <v>1</v>
      </c>
      <c r="I446">
        <f>IFERROR(IF(AND(ISNUMBER(E446),ISNUMBER(F446),E446&gt;0,F446&gt;0),SQRT(3)*'Bulk Calculator'!O41*'Bulk Calculator'!AA41*((E446*'Bulk Calculator'!Q41)+(F446*SQRT(1-'Bulk Calculator'!Q41^2)))/'Bulk Calculator'!J41/'Bulk Calculator'!K41*100,D446*'Bulk Calculator'!AA41*'Bulk Calculator'!O41/'Bulk Calculator'!J41/'Bulk Calculator'!K41*100),"")</f>
        <v>0</v>
      </c>
      <c r="J446">
        <f>IFERROR(IF(AND(ISNUMBER(E446),ISNUMBER(F446),E446&gt;0,F446&gt;0),SQRT(3)*'Bulk Calculator'!O41*'Bulk Calculator'!U41*((E446*'Bulk Calculator'!M41)+(F446*SQRT(1-'Bulk Calculator'!M41^2)))/'Bulk Calculator'!J41/'Bulk Calculator'!K41*100,D446*'Bulk Calculator'!U41*'Bulk Calculator'!O41/'Bulk Calculator'!J41/'Bulk Calculator'!K41*100),"")</f>
        <v>0</v>
      </c>
      <c r="K446">
        <f>IFERROR(G446*B446*'Bulk Calculator'!J41/SQRT('Bulk Calculator'!S41)/1000,"")</f>
        <v>127.90308831298798</v>
      </c>
      <c r="L446">
        <f>IF(OR('Bulk Calculator'!R41="",'Bulk Calculator'!S41="",G446=""),0,IF(K446&gt;='Bulk Calculator'!R41,1,0))</f>
        <v>1</v>
      </c>
      <c r="M446">
        <f>IF(AND(H446=1,I446&lt;='OS-DORAEN'!$B$6,J446&lt;='OS-DORAEN'!$B$5,L446=1),1,0)</f>
        <v>1</v>
      </c>
      <c r="N446" t="str">
        <f t="shared" si="6"/>
        <v>R/X</v>
      </c>
    </row>
    <row r="447" spans="1:14" ht="15" customHeight="1" x14ac:dyDescent="0.35">
      <c r="A447">
        <v>41</v>
      </c>
      <c r="B447">
        <v>300</v>
      </c>
      <c r="C447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Master'!$F:$F,B447),"")</f>
        <v>455</v>
      </c>
      <c r="D447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Master'!$F:$F,B447),"")</f>
        <v>0.13</v>
      </c>
      <c r="E447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Master'!$F:$F,B447),"")</f>
        <v>0.13</v>
      </c>
      <c r="F447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Master'!$F:$F,B447),"")</f>
        <v>7.0999999999999994E-2</v>
      </c>
      <c r="G447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Master'!$F:$F,B447),"")</f>
        <v>143</v>
      </c>
      <c r="H447">
        <f>IF(AND(ISNUMBER(C447),C447&gt;='Bulk Calculator'!U41/('Bulk Calculator'!J41*'Bulk Calculator'!L41)),1,0)</f>
        <v>1</v>
      </c>
      <c r="I447">
        <f>IFERROR(IF(AND(ISNUMBER(E447),ISNUMBER(F447),E447&gt;0,F447&gt;0),SQRT(3)*'Bulk Calculator'!O41*'Bulk Calculator'!AA41*((E447*'Bulk Calculator'!Q41)+(F447*SQRT(1-'Bulk Calculator'!Q41^2)))/'Bulk Calculator'!J41/'Bulk Calculator'!K41*100,D447*'Bulk Calculator'!AA41*'Bulk Calculator'!O41/'Bulk Calculator'!J41/'Bulk Calculator'!K41*100),"")</f>
        <v>0</v>
      </c>
      <c r="J447">
        <f>IFERROR(IF(AND(ISNUMBER(E447),ISNUMBER(F447),E447&gt;0,F447&gt;0),SQRT(3)*'Bulk Calculator'!O41*'Bulk Calculator'!U41*((E447*'Bulk Calculator'!M41)+(F447*SQRT(1-'Bulk Calculator'!M41^2)))/'Bulk Calculator'!J41/'Bulk Calculator'!K41*100,D447*'Bulk Calculator'!U41*'Bulk Calculator'!O41/'Bulk Calculator'!J41/'Bulk Calculator'!K41*100),"")</f>
        <v>0</v>
      </c>
      <c r="K447">
        <f>IFERROR(G447*B447*'Bulk Calculator'!J41/SQRT('Bulk Calculator'!S41)/1000,"")</f>
        <v>95.927316234740985</v>
      </c>
      <c r="L447">
        <f>IF(OR('Bulk Calculator'!R41="",'Bulk Calculator'!S41="",G447=""),0,IF(K447&gt;='Bulk Calculator'!R41,1,0))</f>
        <v>1</v>
      </c>
      <c r="M447">
        <f>IF(AND(H447=1,I447&lt;='OS-DORAEN'!$B$6,J447&lt;='OS-DORAEN'!$B$5,L447=1),1,0)</f>
        <v>1</v>
      </c>
      <c r="N447" t="str">
        <f t="shared" si="6"/>
        <v>R/X</v>
      </c>
    </row>
    <row r="448" spans="1:14" ht="15" customHeight="1" x14ac:dyDescent="0.35">
      <c r="A448">
        <v>41</v>
      </c>
      <c r="B448">
        <v>240</v>
      </c>
      <c r="C448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Master'!$F:$F,B448),"")</f>
        <v>399</v>
      </c>
      <c r="D448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Master'!$F:$F,B448),"")</f>
        <v>0.16200000000000001</v>
      </c>
      <c r="E448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Master'!$F:$F,B448),"")</f>
        <v>0.16200000000000001</v>
      </c>
      <c r="F448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Master'!$F:$F,B448),"")</f>
        <v>7.1999999999999995E-2</v>
      </c>
      <c r="G448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Master'!$F:$F,B448),"")</f>
        <v>143</v>
      </c>
      <c r="H448">
        <f>IF(AND(ISNUMBER(C448),C448&gt;='Bulk Calculator'!U41/('Bulk Calculator'!J41*'Bulk Calculator'!L41)),1,0)</f>
        <v>1</v>
      </c>
      <c r="I448">
        <f>IFERROR(IF(AND(ISNUMBER(E448),ISNUMBER(F448),E448&gt;0,F448&gt;0),SQRT(3)*'Bulk Calculator'!O41*'Bulk Calculator'!AA41*((E448*'Bulk Calculator'!Q41)+(F448*SQRT(1-'Bulk Calculator'!Q41^2)))/'Bulk Calculator'!J41/'Bulk Calculator'!K41*100,D448*'Bulk Calculator'!AA41*'Bulk Calculator'!O41/'Bulk Calculator'!J41/'Bulk Calculator'!K41*100),"")</f>
        <v>0</v>
      </c>
      <c r="J448">
        <f>IFERROR(IF(AND(ISNUMBER(E448),ISNUMBER(F448),E448&gt;0,F448&gt;0),SQRT(3)*'Bulk Calculator'!O41*'Bulk Calculator'!U41*((E448*'Bulk Calculator'!M41)+(F448*SQRT(1-'Bulk Calculator'!M41^2)))/'Bulk Calculator'!J41/'Bulk Calculator'!K41*100,D448*'Bulk Calculator'!U41*'Bulk Calculator'!O41/'Bulk Calculator'!J41/'Bulk Calculator'!K41*100),"")</f>
        <v>0</v>
      </c>
      <c r="K448">
        <f>IFERROR(G448*B448*'Bulk Calculator'!J41/SQRT('Bulk Calculator'!S41)/1000,"")</f>
        <v>76.741852987792782</v>
      </c>
      <c r="L448">
        <f>IF(OR('Bulk Calculator'!R41="",'Bulk Calculator'!S41="",G448=""),0,IF(K448&gt;='Bulk Calculator'!R41,1,0))</f>
        <v>1</v>
      </c>
      <c r="M448">
        <f>IF(AND(H448=1,I448&lt;='OS-DORAEN'!$B$6,J448&lt;='OS-DORAEN'!$B$5,L448=1),1,0)</f>
        <v>1</v>
      </c>
      <c r="N448" t="str">
        <f t="shared" si="6"/>
        <v>R/X</v>
      </c>
    </row>
    <row r="449" spans="1:14" ht="15" customHeight="1" x14ac:dyDescent="0.35">
      <c r="A449">
        <v>41</v>
      </c>
      <c r="B449">
        <v>185</v>
      </c>
      <c r="C449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Master'!$F:$F,B449),"")</f>
        <v>337</v>
      </c>
      <c r="D449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Master'!$F:$F,B449),"")</f>
        <v>0.21099999999999999</v>
      </c>
      <c r="E449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Master'!$F:$F,B449),"")</f>
        <v>0.21099999999999999</v>
      </c>
      <c r="F449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Master'!$F:$F,B449),"")</f>
        <v>7.1999999999999995E-2</v>
      </c>
      <c r="G449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Master'!$F:$F,B449),"")</f>
        <v>143</v>
      </c>
      <c r="H449">
        <f>IF(AND(ISNUMBER(C449),C449&gt;='Bulk Calculator'!U41/('Bulk Calculator'!J41*'Bulk Calculator'!L41)),1,0)</f>
        <v>1</v>
      </c>
      <c r="I449">
        <f>IFERROR(IF(AND(ISNUMBER(E449),ISNUMBER(F449),E449&gt;0,F449&gt;0),SQRT(3)*'Bulk Calculator'!O41*'Bulk Calculator'!AA41*((E449*'Bulk Calculator'!Q41)+(F449*SQRT(1-'Bulk Calculator'!Q41^2)))/'Bulk Calculator'!J41/'Bulk Calculator'!K41*100,D449*'Bulk Calculator'!AA41*'Bulk Calculator'!O41/'Bulk Calculator'!J41/'Bulk Calculator'!K41*100),"")</f>
        <v>0</v>
      </c>
      <c r="J449">
        <f>IFERROR(IF(AND(ISNUMBER(E449),ISNUMBER(F449),E449&gt;0,F449&gt;0),SQRT(3)*'Bulk Calculator'!O41*'Bulk Calculator'!U41*((E449*'Bulk Calculator'!M41)+(F449*SQRT(1-'Bulk Calculator'!M41^2)))/'Bulk Calculator'!J41/'Bulk Calculator'!K41*100,D449*'Bulk Calculator'!U41*'Bulk Calculator'!O41/'Bulk Calculator'!J41/'Bulk Calculator'!K41*100),"")</f>
        <v>0</v>
      </c>
      <c r="K449">
        <f>IFERROR(G449*B449*'Bulk Calculator'!J41/SQRT('Bulk Calculator'!S41)/1000,"")</f>
        <v>59.155178344756941</v>
      </c>
      <c r="L449">
        <f>IF(OR('Bulk Calculator'!R41="",'Bulk Calculator'!S41="",G449=""),0,IF(K449&gt;='Bulk Calculator'!R41,1,0))</f>
        <v>1</v>
      </c>
      <c r="M449">
        <f>IF(AND(H449=1,I449&lt;='OS-DORAEN'!$B$6,J449&lt;='OS-DORAEN'!$B$5,L449=1),1,0)</f>
        <v>1</v>
      </c>
      <c r="N449" t="str">
        <f t="shared" si="6"/>
        <v>R/X</v>
      </c>
    </row>
    <row r="450" spans="1:14" ht="15" customHeight="1" x14ac:dyDescent="0.35">
      <c r="A450">
        <v>41</v>
      </c>
      <c r="B450">
        <v>150</v>
      </c>
      <c r="C450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Master'!$F:$F,B450),"")</f>
        <v>292</v>
      </c>
      <c r="D450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Master'!$F:$F,B450),"")</f>
        <v>0.26500000000000001</v>
      </c>
      <c r="E450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Master'!$F:$F,B450),"")</f>
        <v>0.26500000000000001</v>
      </c>
      <c r="F450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Master'!$F:$F,B450),"")</f>
        <v>7.1999999999999995E-2</v>
      </c>
      <c r="G450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Master'!$F:$F,B450),"")</f>
        <v>143</v>
      </c>
      <c r="H450">
        <f>IF(AND(ISNUMBER(C450),C450&gt;='Bulk Calculator'!U41/('Bulk Calculator'!J41*'Bulk Calculator'!L41)),1,0)</f>
        <v>1</v>
      </c>
      <c r="I450">
        <f>IFERROR(IF(AND(ISNUMBER(E450),ISNUMBER(F450),E450&gt;0,F450&gt;0),SQRT(3)*'Bulk Calculator'!O41*'Bulk Calculator'!AA41*((E450*'Bulk Calculator'!Q41)+(F450*SQRT(1-'Bulk Calculator'!Q41^2)))/'Bulk Calculator'!J41/'Bulk Calculator'!K41*100,D450*'Bulk Calculator'!AA41*'Bulk Calculator'!O41/'Bulk Calculator'!J41/'Bulk Calculator'!K41*100),"")</f>
        <v>0</v>
      </c>
      <c r="J450">
        <f>IFERROR(IF(AND(ISNUMBER(E450),ISNUMBER(F450),E450&gt;0,F450&gt;0),SQRT(3)*'Bulk Calculator'!O41*'Bulk Calculator'!U41*((E450*'Bulk Calculator'!M41)+(F450*SQRT(1-'Bulk Calculator'!M41^2)))/'Bulk Calculator'!J41/'Bulk Calculator'!K41*100,D450*'Bulk Calculator'!U41*'Bulk Calculator'!O41/'Bulk Calculator'!J41/'Bulk Calculator'!K41*100),"")</f>
        <v>0</v>
      </c>
      <c r="K450">
        <f>IFERROR(G450*B450*'Bulk Calculator'!J41/SQRT('Bulk Calculator'!S41)/1000,"")</f>
        <v>47.963658117370493</v>
      </c>
      <c r="L450">
        <f>IF(OR('Bulk Calculator'!R41="",'Bulk Calculator'!S41="",G450=""),0,IF(K450&gt;='Bulk Calculator'!R41,1,0))</f>
        <v>1</v>
      </c>
      <c r="M450">
        <f>IF(AND(H450=1,I450&lt;='OS-DORAEN'!$B$6,J450&lt;='OS-DORAEN'!$B$5,L450=1),1,0)</f>
        <v>1</v>
      </c>
      <c r="N450" t="str">
        <f t="shared" ref="N450:N513" si="7">IF(AND(ISNUMBER(E450),ISNUMBER(F450),E450&gt;0,F450&gt;0),"R/X","Manufacturer VD Ref")</f>
        <v>R/X</v>
      </c>
    </row>
    <row r="451" spans="1:14" ht="15" customHeight="1" x14ac:dyDescent="0.35">
      <c r="A451">
        <v>41</v>
      </c>
      <c r="B451">
        <v>120</v>
      </c>
      <c r="C451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Master'!$F:$F,B451),"")</f>
        <v>257</v>
      </c>
      <c r="D451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Master'!$F:$F,B451),"")</f>
        <v>0.32500000000000001</v>
      </c>
      <c r="E451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Master'!$F:$F,B451),"")</f>
        <v>0.32500000000000001</v>
      </c>
      <c r="F451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Master'!$F:$F,B451),"")</f>
        <v>7.1999999999999995E-2</v>
      </c>
      <c r="G451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Master'!$F:$F,B451),"")</f>
        <v>143</v>
      </c>
      <c r="H451">
        <f>IF(AND(ISNUMBER(C451),C451&gt;='Bulk Calculator'!U41/('Bulk Calculator'!J41*'Bulk Calculator'!L41)),1,0)</f>
        <v>1</v>
      </c>
      <c r="I451">
        <f>IFERROR(IF(AND(ISNUMBER(E451),ISNUMBER(F451),E451&gt;0,F451&gt;0),SQRT(3)*'Bulk Calculator'!O41*'Bulk Calculator'!AA41*((E451*'Bulk Calculator'!Q41)+(F451*SQRT(1-'Bulk Calculator'!Q41^2)))/'Bulk Calculator'!J41/'Bulk Calculator'!K41*100,D451*'Bulk Calculator'!AA41*'Bulk Calculator'!O41/'Bulk Calculator'!J41/'Bulk Calculator'!K41*100),"")</f>
        <v>0</v>
      </c>
      <c r="J451">
        <f>IFERROR(IF(AND(ISNUMBER(E451),ISNUMBER(F451),E451&gt;0,F451&gt;0),SQRT(3)*'Bulk Calculator'!O41*'Bulk Calculator'!U41*((E451*'Bulk Calculator'!M41)+(F451*SQRT(1-'Bulk Calculator'!M41^2)))/'Bulk Calculator'!J41/'Bulk Calculator'!K41*100,D451*'Bulk Calculator'!U41*'Bulk Calculator'!O41/'Bulk Calculator'!J41/'Bulk Calculator'!K41*100),"")</f>
        <v>0</v>
      </c>
      <c r="K451">
        <f>IFERROR(G451*B451*'Bulk Calculator'!J41/SQRT('Bulk Calculator'!S41)/1000,"")</f>
        <v>38.370926493896391</v>
      </c>
      <c r="L451">
        <f>IF(OR('Bulk Calculator'!R41="",'Bulk Calculator'!S41="",G451=""),0,IF(K451&gt;='Bulk Calculator'!R41,1,0))</f>
        <v>1</v>
      </c>
      <c r="M451">
        <f>IF(AND(H451=1,I451&lt;='OS-DORAEN'!$B$6,J451&lt;='OS-DORAEN'!$B$5,L451=1),1,0)</f>
        <v>1</v>
      </c>
      <c r="N451" t="str">
        <f t="shared" si="7"/>
        <v>R/X</v>
      </c>
    </row>
    <row r="452" spans="1:14" ht="15" customHeight="1" x14ac:dyDescent="0.35">
      <c r="A452">
        <v>41</v>
      </c>
      <c r="B452">
        <v>95</v>
      </c>
      <c r="C452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Master'!$F:$F,B452),"")</f>
        <v>221</v>
      </c>
      <c r="D452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Master'!$F:$F,B452),"")</f>
        <v>0.41</v>
      </c>
      <c r="E452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Master'!$F:$F,B452),"")</f>
        <v>0.41</v>
      </c>
      <c r="F452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Master'!$F:$F,B452),"")</f>
        <v>7.3999999999999996E-2</v>
      </c>
      <c r="G452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Master'!$F:$F,B452),"")</f>
        <v>143</v>
      </c>
      <c r="H452">
        <f>IF(AND(ISNUMBER(C452),C452&gt;='Bulk Calculator'!U41/('Bulk Calculator'!J41*'Bulk Calculator'!L41)),1,0)</f>
        <v>1</v>
      </c>
      <c r="I452">
        <f>IFERROR(IF(AND(ISNUMBER(E452),ISNUMBER(F452),E452&gt;0,F452&gt;0),SQRT(3)*'Bulk Calculator'!O41*'Bulk Calculator'!AA41*((E452*'Bulk Calculator'!Q41)+(F452*SQRT(1-'Bulk Calculator'!Q41^2)))/'Bulk Calculator'!J41/'Bulk Calculator'!K41*100,D452*'Bulk Calculator'!AA41*'Bulk Calculator'!O41/'Bulk Calculator'!J41/'Bulk Calculator'!K41*100),"")</f>
        <v>0</v>
      </c>
      <c r="J452">
        <f>IFERROR(IF(AND(ISNUMBER(E452),ISNUMBER(F452),E452&gt;0,F452&gt;0),SQRT(3)*'Bulk Calculator'!O41*'Bulk Calculator'!U41*((E452*'Bulk Calculator'!M41)+(F452*SQRT(1-'Bulk Calculator'!M41^2)))/'Bulk Calculator'!J41/'Bulk Calculator'!K41*100,D452*'Bulk Calculator'!U41*'Bulk Calculator'!O41/'Bulk Calculator'!J41/'Bulk Calculator'!K41*100),"")</f>
        <v>0</v>
      </c>
      <c r="K452">
        <f>IFERROR(G452*B452*'Bulk Calculator'!J41/SQRT('Bulk Calculator'!S41)/1000,"")</f>
        <v>30.376983474334644</v>
      </c>
      <c r="L452">
        <f>IF(OR('Bulk Calculator'!R41="",'Bulk Calculator'!S41="",G452=""),0,IF(K452&gt;='Bulk Calculator'!R41,1,0))</f>
        <v>1</v>
      </c>
      <c r="M452">
        <f>IF(AND(H452=1,I452&lt;='OS-DORAEN'!$B$6,J452&lt;='OS-DORAEN'!$B$5,L452=1),1,0)</f>
        <v>1</v>
      </c>
      <c r="N452" t="str">
        <f t="shared" si="7"/>
        <v>R/X</v>
      </c>
    </row>
    <row r="453" spans="1:14" ht="15" customHeight="1" x14ac:dyDescent="0.35">
      <c r="A453">
        <v>41</v>
      </c>
      <c r="B453">
        <v>70</v>
      </c>
      <c r="C453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Master'!$F:$F,B453),"")</f>
        <v>179</v>
      </c>
      <c r="D453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Master'!$F:$F,B453),"")</f>
        <v>0.56699999999999995</v>
      </c>
      <c r="E453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Master'!$F:$F,B453),"")</f>
        <v>0.56699999999999995</v>
      </c>
      <c r="F453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Master'!$F:$F,B453),"")</f>
        <v>7.6999999999999999E-2</v>
      </c>
      <c r="G453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Master'!$F:$F,B453),"")</f>
        <v>143</v>
      </c>
      <c r="H453">
        <f>IF(AND(ISNUMBER(C453),C453&gt;='Bulk Calculator'!U41/('Bulk Calculator'!J41*'Bulk Calculator'!L41)),1,0)</f>
        <v>1</v>
      </c>
      <c r="I453">
        <f>IFERROR(IF(AND(ISNUMBER(E453),ISNUMBER(F453),E453&gt;0,F453&gt;0),SQRT(3)*'Bulk Calculator'!O41*'Bulk Calculator'!AA41*((E453*'Bulk Calculator'!Q41)+(F453*SQRT(1-'Bulk Calculator'!Q41^2)))/'Bulk Calculator'!J41/'Bulk Calculator'!K41*100,D453*'Bulk Calculator'!AA41*'Bulk Calculator'!O41/'Bulk Calculator'!J41/'Bulk Calculator'!K41*100),"")</f>
        <v>0</v>
      </c>
      <c r="J453">
        <f>IFERROR(IF(AND(ISNUMBER(E453),ISNUMBER(F453),E453&gt;0,F453&gt;0),SQRT(3)*'Bulk Calculator'!O41*'Bulk Calculator'!U41*((E453*'Bulk Calculator'!M41)+(F453*SQRT(1-'Bulk Calculator'!M41^2)))/'Bulk Calculator'!J41/'Bulk Calculator'!K41*100,D453*'Bulk Calculator'!U41*'Bulk Calculator'!O41/'Bulk Calculator'!J41/'Bulk Calculator'!K41*100),"")</f>
        <v>0</v>
      </c>
      <c r="K453">
        <f>IFERROR(G453*B453*'Bulk Calculator'!J41/SQRT('Bulk Calculator'!S41)/1000,"")</f>
        <v>22.383040454772893</v>
      </c>
      <c r="L453">
        <f>IF(OR('Bulk Calculator'!R41="",'Bulk Calculator'!S41="",G453=""),0,IF(K453&gt;='Bulk Calculator'!R41,1,0))</f>
        <v>1</v>
      </c>
      <c r="M453">
        <f>IF(AND(H453=1,I453&lt;='OS-DORAEN'!$B$6,J453&lt;='OS-DORAEN'!$B$5,L453=1),1,0)</f>
        <v>1</v>
      </c>
      <c r="N453" t="str">
        <f t="shared" si="7"/>
        <v>R/X</v>
      </c>
    </row>
    <row r="454" spans="1:14" ht="15" customHeight="1" x14ac:dyDescent="0.35">
      <c r="A454">
        <v>41</v>
      </c>
      <c r="B454">
        <v>50</v>
      </c>
      <c r="C454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Master'!$F:$F,B454),"")</f>
        <v>142</v>
      </c>
      <c r="D454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Master'!$F:$F,B454),"")</f>
        <v>0.82</v>
      </c>
      <c r="E454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Master'!$F:$F,B454),"")</f>
        <v>0.82</v>
      </c>
      <c r="F454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Master'!$F:$F,B454),"")</f>
        <v>7.8E-2</v>
      </c>
      <c r="G454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Master'!$F:$F,B454),"")</f>
        <v>143</v>
      </c>
      <c r="H454">
        <f>IF(AND(ISNUMBER(C454),C454&gt;='Bulk Calculator'!U41/('Bulk Calculator'!J41*'Bulk Calculator'!L41)),1,0)</f>
        <v>1</v>
      </c>
      <c r="I454">
        <f>IFERROR(IF(AND(ISNUMBER(E454),ISNUMBER(F454),E454&gt;0,F454&gt;0),SQRT(3)*'Bulk Calculator'!O41*'Bulk Calculator'!AA41*((E454*'Bulk Calculator'!Q41)+(F454*SQRT(1-'Bulk Calculator'!Q41^2)))/'Bulk Calculator'!J41/'Bulk Calculator'!K41*100,D454*'Bulk Calculator'!AA41*'Bulk Calculator'!O41/'Bulk Calculator'!J41/'Bulk Calculator'!K41*100),"")</f>
        <v>0</v>
      </c>
      <c r="J454">
        <f>IFERROR(IF(AND(ISNUMBER(E454),ISNUMBER(F454),E454&gt;0,F454&gt;0),SQRT(3)*'Bulk Calculator'!O41*'Bulk Calculator'!U41*((E454*'Bulk Calculator'!M41)+(F454*SQRT(1-'Bulk Calculator'!M41^2)))/'Bulk Calculator'!J41/'Bulk Calculator'!K41*100,D454*'Bulk Calculator'!U41*'Bulk Calculator'!O41/'Bulk Calculator'!J41/'Bulk Calculator'!K41*100),"")</f>
        <v>0</v>
      </c>
      <c r="K454">
        <f>IFERROR(G454*B454*'Bulk Calculator'!J41/SQRT('Bulk Calculator'!S41)/1000,"")</f>
        <v>15.987886039123497</v>
      </c>
      <c r="L454">
        <f>IF(OR('Bulk Calculator'!R41="",'Bulk Calculator'!S41="",G454=""),0,IF(K454&gt;='Bulk Calculator'!R41,1,0))</f>
        <v>1</v>
      </c>
      <c r="M454">
        <f>IF(AND(H454=1,I454&lt;='OS-DORAEN'!$B$6,J454&lt;='OS-DORAEN'!$B$5,L454=1),1,0)</f>
        <v>1</v>
      </c>
      <c r="N454" t="str">
        <f t="shared" si="7"/>
        <v>R/X</v>
      </c>
    </row>
    <row r="455" spans="1:14" ht="15" customHeight="1" x14ac:dyDescent="0.35">
      <c r="A455">
        <v>41</v>
      </c>
      <c r="B455">
        <v>35</v>
      </c>
      <c r="C455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Master'!$F:$F,B455),"")</f>
        <v>117</v>
      </c>
      <c r="D455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Master'!$F:$F,B455),"")</f>
        <v>1.1100000000000001</v>
      </c>
      <c r="E455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Master'!$F:$F,B455),"")</f>
        <v>1.1100000000000001</v>
      </c>
      <c r="F455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Master'!$F:$F,B455),"")</f>
        <v>0.08</v>
      </c>
      <c r="G455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Master'!$F:$F,B455),"")</f>
        <v>143</v>
      </c>
      <c r="H455">
        <f>IF(AND(ISNUMBER(C455),C455&gt;='Bulk Calculator'!U41/('Bulk Calculator'!J41*'Bulk Calculator'!L41)),1,0)</f>
        <v>1</v>
      </c>
      <c r="I455">
        <f>IFERROR(IF(AND(ISNUMBER(E455),ISNUMBER(F455),E455&gt;0,F455&gt;0),SQRT(3)*'Bulk Calculator'!O41*'Bulk Calculator'!AA41*((E455*'Bulk Calculator'!Q41)+(F455*SQRT(1-'Bulk Calculator'!Q41^2)))/'Bulk Calculator'!J41/'Bulk Calculator'!K41*100,D455*'Bulk Calculator'!AA41*'Bulk Calculator'!O41/'Bulk Calculator'!J41/'Bulk Calculator'!K41*100),"")</f>
        <v>0</v>
      </c>
      <c r="J455">
        <f>IFERROR(IF(AND(ISNUMBER(E455),ISNUMBER(F455),E455&gt;0,F455&gt;0),SQRT(3)*'Bulk Calculator'!O41*'Bulk Calculator'!U41*((E455*'Bulk Calculator'!M41)+(F455*SQRT(1-'Bulk Calculator'!M41^2)))/'Bulk Calculator'!J41/'Bulk Calculator'!K41*100,D455*'Bulk Calculator'!U41*'Bulk Calculator'!O41/'Bulk Calculator'!J41/'Bulk Calculator'!K41*100),"")</f>
        <v>0</v>
      </c>
      <c r="K455">
        <f>IFERROR(G455*B455*'Bulk Calculator'!J41/SQRT('Bulk Calculator'!S41)/1000,"")</f>
        <v>11.191520227386446</v>
      </c>
      <c r="L455">
        <f>IF(OR('Bulk Calculator'!R41="",'Bulk Calculator'!S41="",G455=""),0,IF(K455&gt;='Bulk Calculator'!R41,1,0))</f>
        <v>1</v>
      </c>
      <c r="M455">
        <f>IF(AND(H455=1,I455&lt;='OS-DORAEN'!$B$6,J455&lt;='OS-DORAEN'!$B$5,L455=1),1,0)</f>
        <v>1</v>
      </c>
      <c r="N455" t="str">
        <f t="shared" si="7"/>
        <v>R/X</v>
      </c>
    </row>
    <row r="456" spans="1:14" ht="15" customHeight="1" x14ac:dyDescent="0.35">
      <c r="A456">
        <v>41</v>
      </c>
      <c r="B456">
        <v>25</v>
      </c>
      <c r="C456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Master'!$F:$F,B456),"")</f>
        <v>96</v>
      </c>
      <c r="D456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Master'!$F:$F,B456),"")</f>
        <v>1.54</v>
      </c>
      <c r="E456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Master'!$F:$F,B456),"")</f>
        <v>1.54</v>
      </c>
      <c r="F456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Master'!$F:$F,B456),"")</f>
        <v>0.08</v>
      </c>
      <c r="G456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Master'!$F:$F,B456),"")</f>
        <v>143</v>
      </c>
      <c r="H456">
        <f>IF(AND(ISNUMBER(C456),C456&gt;='Bulk Calculator'!U41/('Bulk Calculator'!J41*'Bulk Calculator'!L41)),1,0)</f>
        <v>1</v>
      </c>
      <c r="I456">
        <f>IFERROR(IF(AND(ISNUMBER(E456),ISNUMBER(F456),E456&gt;0,F456&gt;0),SQRT(3)*'Bulk Calculator'!O41*'Bulk Calculator'!AA41*((E456*'Bulk Calculator'!Q41)+(F456*SQRT(1-'Bulk Calculator'!Q41^2)))/'Bulk Calculator'!J41/'Bulk Calculator'!K41*100,D456*'Bulk Calculator'!AA41*'Bulk Calculator'!O41/'Bulk Calculator'!J41/'Bulk Calculator'!K41*100),"")</f>
        <v>0</v>
      </c>
      <c r="J456">
        <f>IFERROR(IF(AND(ISNUMBER(E456),ISNUMBER(F456),E456&gt;0,F456&gt;0),SQRT(3)*'Bulk Calculator'!O41*'Bulk Calculator'!U41*((E456*'Bulk Calculator'!M41)+(F456*SQRT(1-'Bulk Calculator'!M41^2)))/'Bulk Calculator'!J41/'Bulk Calculator'!K41*100,D456*'Bulk Calculator'!U41*'Bulk Calculator'!O41/'Bulk Calculator'!J41/'Bulk Calculator'!K41*100),"")</f>
        <v>0</v>
      </c>
      <c r="K456">
        <f>IFERROR(G456*B456*'Bulk Calculator'!J41/SQRT('Bulk Calculator'!S41)/1000,"")</f>
        <v>7.9939430195617485</v>
      </c>
      <c r="L456">
        <f>IF(OR('Bulk Calculator'!R41="",'Bulk Calculator'!S41="",G456=""),0,IF(K456&gt;='Bulk Calculator'!R41,1,0))</f>
        <v>1</v>
      </c>
      <c r="M456">
        <f>IF(AND(H456=1,I456&lt;='OS-DORAEN'!$B$6,J456&lt;='OS-DORAEN'!$B$5,L456=1),1,0)</f>
        <v>1</v>
      </c>
      <c r="N456" t="str">
        <f t="shared" si="7"/>
        <v>R/X</v>
      </c>
    </row>
    <row r="457" spans="1:14" ht="15" customHeight="1" x14ac:dyDescent="0.35">
      <c r="A457">
        <v>41</v>
      </c>
      <c r="B457">
        <v>16</v>
      </c>
      <c r="C457">
        <f>IFERROR(SUMIFS('Cable Data Master'!$G:$G,'Cable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Master'!$F:$F,B457),"")</f>
        <v>0</v>
      </c>
      <c r="D457">
        <f>IFERROR(SUMIFS('Cable Data Master'!$K:$K,'Cable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Master'!$F:$F,B457),"")</f>
        <v>0</v>
      </c>
      <c r="E457">
        <f>IFERROR(SUMIFS('Cable Data Master'!$H:$H,'Cable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Master'!$F:$F,B457),"")</f>
        <v>0</v>
      </c>
      <c r="F457">
        <f>IFERROR(SUMIFS('Cable Data Master'!$I:$I,'Cable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Master'!$F:$F,B457),"")</f>
        <v>0</v>
      </c>
      <c r="G457">
        <f>IFERROR(SUMIFS('Cable Data Master'!$J:$J,'Cable Data Master'!$A:$A,'Bulk Calculator'!$BF41,'Cable Data Master'!$B:$B,'Bulk Calculator'!$BG41,'Cable Data Master'!$C:$C,'Bulk Calculator'!$BH41,'Cable Data Master'!$D:$D,'Bulk Calculator'!$BI41,'Cable Data Master'!$E:$E,'Bulk Calculator'!$BJ41,'Cable Data Master'!$F:$F,B457),"")</f>
        <v>0</v>
      </c>
      <c r="H457">
        <f>IF(AND(ISNUMBER(C457),C457&gt;='Bulk Calculator'!U41/('Bulk Calculator'!J41*'Bulk Calculator'!L41)),1,0)</f>
        <v>1</v>
      </c>
      <c r="I457">
        <f>IFERROR(IF(AND(ISNUMBER(E457),ISNUMBER(F457),E457&gt;0,F457&gt;0),SQRT(3)*'Bulk Calculator'!O41*'Bulk Calculator'!AA41*((E457*'Bulk Calculator'!Q41)+(F457*SQRT(1-'Bulk Calculator'!Q41^2)))/'Bulk Calculator'!J41/'Bulk Calculator'!K41*100,D457*'Bulk Calculator'!AA41*'Bulk Calculator'!O41/'Bulk Calculator'!J41/'Bulk Calculator'!K41*100),"")</f>
        <v>0</v>
      </c>
      <c r="J457">
        <f>IFERROR(IF(AND(ISNUMBER(E457),ISNUMBER(F457),E457&gt;0,F457&gt;0),SQRT(3)*'Bulk Calculator'!O41*'Bulk Calculator'!U41*((E457*'Bulk Calculator'!M41)+(F457*SQRT(1-'Bulk Calculator'!M41^2)))/'Bulk Calculator'!J41/'Bulk Calculator'!K41*100,D457*'Bulk Calculator'!U41*'Bulk Calculator'!O41/'Bulk Calculator'!J41/'Bulk Calculator'!K41*100),"")</f>
        <v>0</v>
      </c>
      <c r="K457">
        <f>IFERROR(G457*B457*'Bulk Calculator'!J41/SQRT('Bulk Calculator'!S41)/1000,"")</f>
        <v>0</v>
      </c>
      <c r="L457">
        <f>IF(OR('Bulk Calculator'!R41="",'Bulk Calculator'!S41="",G457=""),0,IF(K457&gt;='Bulk Calculator'!R41,1,0))</f>
        <v>1</v>
      </c>
      <c r="M457">
        <f>IF(AND(H457=1,I457&lt;='OS-DORAEN'!$B$6,J457&lt;='OS-DORAEN'!$B$5,L457=1),1,0)</f>
        <v>1</v>
      </c>
      <c r="N457" t="str">
        <f t="shared" si="7"/>
        <v>Manufacturer VD Ref</v>
      </c>
    </row>
    <row r="458" spans="1:14" ht="15" customHeight="1" x14ac:dyDescent="0.35">
      <c r="A458">
        <v>42</v>
      </c>
      <c r="B458">
        <v>400</v>
      </c>
      <c r="C458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Master'!$F:$F,B458),"")</f>
        <v>530</v>
      </c>
      <c r="D458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Master'!$F:$F,B458),"")</f>
        <v>0.1023</v>
      </c>
      <c r="E458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Master'!$F:$F,B458),"")</f>
        <v>0.1023</v>
      </c>
      <c r="F458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Master'!$F:$F,B458),"")</f>
        <v>7.0000000000000007E-2</v>
      </c>
      <c r="G458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Master'!$F:$F,B458),"")</f>
        <v>143</v>
      </c>
      <c r="H458">
        <f>IF(AND(ISNUMBER(C458),C458&gt;='Bulk Calculator'!U42/('Bulk Calculator'!J42*'Bulk Calculator'!L42)),1,0)</f>
        <v>1</v>
      </c>
      <c r="I458">
        <f>IFERROR(IF(AND(ISNUMBER(E458),ISNUMBER(F458),E458&gt;0,F458&gt;0),SQRT(3)*'Bulk Calculator'!O42*'Bulk Calculator'!AA42*((E458*'Bulk Calculator'!Q42)+(F458*SQRT(1-'Bulk Calculator'!Q42^2)))/'Bulk Calculator'!J42/'Bulk Calculator'!K42*100,D458*'Bulk Calculator'!AA42*'Bulk Calculator'!O42/'Bulk Calculator'!J42/'Bulk Calculator'!K42*100),"")</f>
        <v>0</v>
      </c>
      <c r="J458">
        <f>IFERROR(IF(AND(ISNUMBER(E458),ISNUMBER(F458),E458&gt;0,F458&gt;0),SQRT(3)*'Bulk Calculator'!O42*'Bulk Calculator'!U42*((E458*'Bulk Calculator'!M42)+(F458*SQRT(1-'Bulk Calculator'!M42^2)))/'Bulk Calculator'!J42/'Bulk Calculator'!K42*100,D458*'Bulk Calculator'!U42*'Bulk Calculator'!O42/'Bulk Calculator'!J42/'Bulk Calculator'!K42*100),"")</f>
        <v>0</v>
      </c>
      <c r="K458">
        <f>IFERROR(G458*B458*'Bulk Calculator'!J42/SQRT('Bulk Calculator'!S42)/1000,"")</f>
        <v>127.90308831298798</v>
      </c>
      <c r="L458">
        <f>IF(OR('Bulk Calculator'!R42="",'Bulk Calculator'!S42="",G458=""),0,IF(K458&gt;='Bulk Calculator'!R42,1,0))</f>
        <v>1</v>
      </c>
      <c r="M458">
        <f>IF(AND(H458=1,I458&lt;='OS-DORAEN'!$B$6,J458&lt;='OS-DORAEN'!$B$5,L458=1),1,0)</f>
        <v>1</v>
      </c>
      <c r="N458" t="str">
        <f t="shared" si="7"/>
        <v>R/X</v>
      </c>
    </row>
    <row r="459" spans="1:14" ht="15" customHeight="1" x14ac:dyDescent="0.35">
      <c r="A459">
        <v>42</v>
      </c>
      <c r="B459">
        <v>300</v>
      </c>
      <c r="C459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Master'!$F:$F,B459),"")</f>
        <v>455</v>
      </c>
      <c r="D459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Master'!$F:$F,B459),"")</f>
        <v>0.13</v>
      </c>
      <c r="E459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Master'!$F:$F,B459),"")</f>
        <v>0.13</v>
      </c>
      <c r="F459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Master'!$F:$F,B459),"")</f>
        <v>7.0999999999999994E-2</v>
      </c>
      <c r="G459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Master'!$F:$F,B459),"")</f>
        <v>143</v>
      </c>
      <c r="H459">
        <f>IF(AND(ISNUMBER(C459),C459&gt;='Bulk Calculator'!U42/('Bulk Calculator'!J42*'Bulk Calculator'!L42)),1,0)</f>
        <v>1</v>
      </c>
      <c r="I459">
        <f>IFERROR(IF(AND(ISNUMBER(E459),ISNUMBER(F459),E459&gt;0,F459&gt;0),SQRT(3)*'Bulk Calculator'!O42*'Bulk Calculator'!AA42*((E459*'Bulk Calculator'!Q42)+(F459*SQRT(1-'Bulk Calculator'!Q42^2)))/'Bulk Calculator'!J42/'Bulk Calculator'!K42*100,D459*'Bulk Calculator'!AA42*'Bulk Calculator'!O42/'Bulk Calculator'!J42/'Bulk Calculator'!K42*100),"")</f>
        <v>0</v>
      </c>
      <c r="J459">
        <f>IFERROR(IF(AND(ISNUMBER(E459),ISNUMBER(F459),E459&gt;0,F459&gt;0),SQRT(3)*'Bulk Calculator'!O42*'Bulk Calculator'!U42*((E459*'Bulk Calculator'!M42)+(F459*SQRT(1-'Bulk Calculator'!M42^2)))/'Bulk Calculator'!J42/'Bulk Calculator'!K42*100,D459*'Bulk Calculator'!U42*'Bulk Calculator'!O42/'Bulk Calculator'!J42/'Bulk Calculator'!K42*100),"")</f>
        <v>0</v>
      </c>
      <c r="K459">
        <f>IFERROR(G459*B459*'Bulk Calculator'!J42/SQRT('Bulk Calculator'!S42)/1000,"")</f>
        <v>95.927316234740985</v>
      </c>
      <c r="L459">
        <f>IF(OR('Bulk Calculator'!R42="",'Bulk Calculator'!S42="",G459=""),0,IF(K459&gt;='Bulk Calculator'!R42,1,0))</f>
        <v>1</v>
      </c>
      <c r="M459">
        <f>IF(AND(H459=1,I459&lt;='OS-DORAEN'!$B$6,J459&lt;='OS-DORAEN'!$B$5,L459=1),1,0)</f>
        <v>1</v>
      </c>
      <c r="N459" t="str">
        <f t="shared" si="7"/>
        <v>R/X</v>
      </c>
    </row>
    <row r="460" spans="1:14" ht="15" customHeight="1" x14ac:dyDescent="0.35">
      <c r="A460">
        <v>42</v>
      </c>
      <c r="B460">
        <v>240</v>
      </c>
      <c r="C460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Master'!$F:$F,B460),"")</f>
        <v>399</v>
      </c>
      <c r="D460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Master'!$F:$F,B460),"")</f>
        <v>0.16200000000000001</v>
      </c>
      <c r="E460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Master'!$F:$F,B460),"")</f>
        <v>0.16200000000000001</v>
      </c>
      <c r="F460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Master'!$F:$F,B460),"")</f>
        <v>7.1999999999999995E-2</v>
      </c>
      <c r="G460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Master'!$F:$F,B460),"")</f>
        <v>143</v>
      </c>
      <c r="H460">
        <f>IF(AND(ISNUMBER(C460),C460&gt;='Bulk Calculator'!U42/('Bulk Calculator'!J42*'Bulk Calculator'!L42)),1,0)</f>
        <v>1</v>
      </c>
      <c r="I460">
        <f>IFERROR(IF(AND(ISNUMBER(E460),ISNUMBER(F460),E460&gt;0,F460&gt;0),SQRT(3)*'Bulk Calculator'!O42*'Bulk Calculator'!AA42*((E460*'Bulk Calculator'!Q42)+(F460*SQRT(1-'Bulk Calculator'!Q42^2)))/'Bulk Calculator'!J42/'Bulk Calculator'!K42*100,D460*'Bulk Calculator'!AA42*'Bulk Calculator'!O42/'Bulk Calculator'!J42/'Bulk Calculator'!K42*100),"")</f>
        <v>0</v>
      </c>
      <c r="J460">
        <f>IFERROR(IF(AND(ISNUMBER(E460),ISNUMBER(F460),E460&gt;0,F460&gt;0),SQRT(3)*'Bulk Calculator'!O42*'Bulk Calculator'!U42*((E460*'Bulk Calculator'!M42)+(F460*SQRT(1-'Bulk Calculator'!M42^2)))/'Bulk Calculator'!J42/'Bulk Calculator'!K42*100,D460*'Bulk Calculator'!U42*'Bulk Calculator'!O42/'Bulk Calculator'!J42/'Bulk Calculator'!K42*100),"")</f>
        <v>0</v>
      </c>
      <c r="K460">
        <f>IFERROR(G460*B460*'Bulk Calculator'!J42/SQRT('Bulk Calculator'!S42)/1000,"")</f>
        <v>76.741852987792782</v>
      </c>
      <c r="L460">
        <f>IF(OR('Bulk Calculator'!R42="",'Bulk Calculator'!S42="",G460=""),0,IF(K460&gt;='Bulk Calculator'!R42,1,0))</f>
        <v>1</v>
      </c>
      <c r="M460">
        <f>IF(AND(H460=1,I460&lt;='OS-DORAEN'!$B$6,J460&lt;='OS-DORAEN'!$B$5,L460=1),1,0)</f>
        <v>1</v>
      </c>
      <c r="N460" t="str">
        <f t="shared" si="7"/>
        <v>R/X</v>
      </c>
    </row>
    <row r="461" spans="1:14" ht="15" customHeight="1" x14ac:dyDescent="0.35">
      <c r="A461">
        <v>42</v>
      </c>
      <c r="B461">
        <v>185</v>
      </c>
      <c r="C461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Master'!$F:$F,B461),"")</f>
        <v>337</v>
      </c>
      <c r="D461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Master'!$F:$F,B461),"")</f>
        <v>0.21099999999999999</v>
      </c>
      <c r="E461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Master'!$F:$F,B461),"")</f>
        <v>0.21099999999999999</v>
      </c>
      <c r="F461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Master'!$F:$F,B461),"")</f>
        <v>7.1999999999999995E-2</v>
      </c>
      <c r="G461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Master'!$F:$F,B461),"")</f>
        <v>143</v>
      </c>
      <c r="H461">
        <f>IF(AND(ISNUMBER(C461),C461&gt;='Bulk Calculator'!U42/('Bulk Calculator'!J42*'Bulk Calculator'!L42)),1,0)</f>
        <v>1</v>
      </c>
      <c r="I461">
        <f>IFERROR(IF(AND(ISNUMBER(E461),ISNUMBER(F461),E461&gt;0,F461&gt;0),SQRT(3)*'Bulk Calculator'!O42*'Bulk Calculator'!AA42*((E461*'Bulk Calculator'!Q42)+(F461*SQRT(1-'Bulk Calculator'!Q42^2)))/'Bulk Calculator'!J42/'Bulk Calculator'!K42*100,D461*'Bulk Calculator'!AA42*'Bulk Calculator'!O42/'Bulk Calculator'!J42/'Bulk Calculator'!K42*100),"")</f>
        <v>0</v>
      </c>
      <c r="J461">
        <f>IFERROR(IF(AND(ISNUMBER(E461),ISNUMBER(F461),E461&gt;0,F461&gt;0),SQRT(3)*'Bulk Calculator'!O42*'Bulk Calculator'!U42*((E461*'Bulk Calculator'!M42)+(F461*SQRT(1-'Bulk Calculator'!M42^2)))/'Bulk Calculator'!J42/'Bulk Calculator'!K42*100,D461*'Bulk Calculator'!U42*'Bulk Calculator'!O42/'Bulk Calculator'!J42/'Bulk Calculator'!K42*100),"")</f>
        <v>0</v>
      </c>
      <c r="K461">
        <f>IFERROR(G461*B461*'Bulk Calculator'!J42/SQRT('Bulk Calculator'!S42)/1000,"")</f>
        <v>59.155178344756941</v>
      </c>
      <c r="L461">
        <f>IF(OR('Bulk Calculator'!R42="",'Bulk Calculator'!S42="",G461=""),0,IF(K461&gt;='Bulk Calculator'!R42,1,0))</f>
        <v>1</v>
      </c>
      <c r="M461">
        <f>IF(AND(H461=1,I461&lt;='OS-DORAEN'!$B$6,J461&lt;='OS-DORAEN'!$B$5,L461=1),1,0)</f>
        <v>1</v>
      </c>
      <c r="N461" t="str">
        <f t="shared" si="7"/>
        <v>R/X</v>
      </c>
    </row>
    <row r="462" spans="1:14" ht="15" customHeight="1" x14ac:dyDescent="0.35">
      <c r="A462">
        <v>42</v>
      </c>
      <c r="B462">
        <v>150</v>
      </c>
      <c r="C462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Master'!$F:$F,B462),"")</f>
        <v>292</v>
      </c>
      <c r="D462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Master'!$F:$F,B462),"")</f>
        <v>0.26500000000000001</v>
      </c>
      <c r="E462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Master'!$F:$F,B462),"")</f>
        <v>0.26500000000000001</v>
      </c>
      <c r="F462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Master'!$F:$F,B462),"")</f>
        <v>7.1999999999999995E-2</v>
      </c>
      <c r="G462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Master'!$F:$F,B462),"")</f>
        <v>143</v>
      </c>
      <c r="H462">
        <f>IF(AND(ISNUMBER(C462),C462&gt;='Bulk Calculator'!U42/('Bulk Calculator'!J42*'Bulk Calculator'!L42)),1,0)</f>
        <v>1</v>
      </c>
      <c r="I462">
        <f>IFERROR(IF(AND(ISNUMBER(E462),ISNUMBER(F462),E462&gt;0,F462&gt;0),SQRT(3)*'Bulk Calculator'!O42*'Bulk Calculator'!AA42*((E462*'Bulk Calculator'!Q42)+(F462*SQRT(1-'Bulk Calculator'!Q42^2)))/'Bulk Calculator'!J42/'Bulk Calculator'!K42*100,D462*'Bulk Calculator'!AA42*'Bulk Calculator'!O42/'Bulk Calculator'!J42/'Bulk Calculator'!K42*100),"")</f>
        <v>0</v>
      </c>
      <c r="J462">
        <f>IFERROR(IF(AND(ISNUMBER(E462),ISNUMBER(F462),E462&gt;0,F462&gt;0),SQRT(3)*'Bulk Calculator'!O42*'Bulk Calculator'!U42*((E462*'Bulk Calculator'!M42)+(F462*SQRT(1-'Bulk Calculator'!M42^2)))/'Bulk Calculator'!J42/'Bulk Calculator'!K42*100,D462*'Bulk Calculator'!U42*'Bulk Calculator'!O42/'Bulk Calculator'!J42/'Bulk Calculator'!K42*100),"")</f>
        <v>0</v>
      </c>
      <c r="K462">
        <f>IFERROR(G462*B462*'Bulk Calculator'!J42/SQRT('Bulk Calculator'!S42)/1000,"")</f>
        <v>47.963658117370493</v>
      </c>
      <c r="L462">
        <f>IF(OR('Bulk Calculator'!R42="",'Bulk Calculator'!S42="",G462=""),0,IF(K462&gt;='Bulk Calculator'!R42,1,0))</f>
        <v>1</v>
      </c>
      <c r="M462">
        <f>IF(AND(H462=1,I462&lt;='OS-DORAEN'!$B$6,J462&lt;='OS-DORAEN'!$B$5,L462=1),1,0)</f>
        <v>1</v>
      </c>
      <c r="N462" t="str">
        <f t="shared" si="7"/>
        <v>R/X</v>
      </c>
    </row>
    <row r="463" spans="1:14" ht="15" customHeight="1" x14ac:dyDescent="0.35">
      <c r="A463">
        <v>42</v>
      </c>
      <c r="B463">
        <v>120</v>
      </c>
      <c r="C463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Master'!$F:$F,B463),"")</f>
        <v>257</v>
      </c>
      <c r="D463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Master'!$F:$F,B463),"")</f>
        <v>0.32500000000000001</v>
      </c>
      <c r="E463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Master'!$F:$F,B463),"")</f>
        <v>0.32500000000000001</v>
      </c>
      <c r="F463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Master'!$F:$F,B463),"")</f>
        <v>7.1999999999999995E-2</v>
      </c>
      <c r="G463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Master'!$F:$F,B463),"")</f>
        <v>143</v>
      </c>
      <c r="H463">
        <f>IF(AND(ISNUMBER(C463),C463&gt;='Bulk Calculator'!U42/('Bulk Calculator'!J42*'Bulk Calculator'!L42)),1,0)</f>
        <v>1</v>
      </c>
      <c r="I463">
        <f>IFERROR(IF(AND(ISNUMBER(E463),ISNUMBER(F463),E463&gt;0,F463&gt;0),SQRT(3)*'Bulk Calculator'!O42*'Bulk Calculator'!AA42*((E463*'Bulk Calculator'!Q42)+(F463*SQRT(1-'Bulk Calculator'!Q42^2)))/'Bulk Calculator'!J42/'Bulk Calculator'!K42*100,D463*'Bulk Calculator'!AA42*'Bulk Calculator'!O42/'Bulk Calculator'!J42/'Bulk Calculator'!K42*100),"")</f>
        <v>0</v>
      </c>
      <c r="J463">
        <f>IFERROR(IF(AND(ISNUMBER(E463),ISNUMBER(F463),E463&gt;0,F463&gt;0),SQRT(3)*'Bulk Calculator'!O42*'Bulk Calculator'!U42*((E463*'Bulk Calculator'!M42)+(F463*SQRT(1-'Bulk Calculator'!M42^2)))/'Bulk Calculator'!J42/'Bulk Calculator'!K42*100,D463*'Bulk Calculator'!U42*'Bulk Calculator'!O42/'Bulk Calculator'!J42/'Bulk Calculator'!K42*100),"")</f>
        <v>0</v>
      </c>
      <c r="K463">
        <f>IFERROR(G463*B463*'Bulk Calculator'!J42/SQRT('Bulk Calculator'!S42)/1000,"")</f>
        <v>38.370926493896391</v>
      </c>
      <c r="L463">
        <f>IF(OR('Bulk Calculator'!R42="",'Bulk Calculator'!S42="",G463=""),0,IF(K463&gt;='Bulk Calculator'!R42,1,0))</f>
        <v>1</v>
      </c>
      <c r="M463">
        <f>IF(AND(H463=1,I463&lt;='OS-DORAEN'!$B$6,J463&lt;='OS-DORAEN'!$B$5,L463=1),1,0)</f>
        <v>1</v>
      </c>
      <c r="N463" t="str">
        <f t="shared" si="7"/>
        <v>R/X</v>
      </c>
    </row>
    <row r="464" spans="1:14" ht="15" customHeight="1" x14ac:dyDescent="0.35">
      <c r="A464">
        <v>42</v>
      </c>
      <c r="B464">
        <v>95</v>
      </c>
      <c r="C464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Master'!$F:$F,B464),"")</f>
        <v>221</v>
      </c>
      <c r="D464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Master'!$F:$F,B464),"")</f>
        <v>0.41</v>
      </c>
      <c r="E464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Master'!$F:$F,B464),"")</f>
        <v>0.41</v>
      </c>
      <c r="F464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Master'!$F:$F,B464),"")</f>
        <v>7.3999999999999996E-2</v>
      </c>
      <c r="G464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Master'!$F:$F,B464),"")</f>
        <v>143</v>
      </c>
      <c r="H464">
        <f>IF(AND(ISNUMBER(C464),C464&gt;='Bulk Calculator'!U42/('Bulk Calculator'!J42*'Bulk Calculator'!L42)),1,0)</f>
        <v>1</v>
      </c>
      <c r="I464">
        <f>IFERROR(IF(AND(ISNUMBER(E464),ISNUMBER(F464),E464&gt;0,F464&gt;0),SQRT(3)*'Bulk Calculator'!O42*'Bulk Calculator'!AA42*((E464*'Bulk Calculator'!Q42)+(F464*SQRT(1-'Bulk Calculator'!Q42^2)))/'Bulk Calculator'!J42/'Bulk Calculator'!K42*100,D464*'Bulk Calculator'!AA42*'Bulk Calculator'!O42/'Bulk Calculator'!J42/'Bulk Calculator'!K42*100),"")</f>
        <v>0</v>
      </c>
      <c r="J464">
        <f>IFERROR(IF(AND(ISNUMBER(E464),ISNUMBER(F464),E464&gt;0,F464&gt;0),SQRT(3)*'Bulk Calculator'!O42*'Bulk Calculator'!U42*((E464*'Bulk Calculator'!M42)+(F464*SQRT(1-'Bulk Calculator'!M42^2)))/'Bulk Calculator'!J42/'Bulk Calculator'!K42*100,D464*'Bulk Calculator'!U42*'Bulk Calculator'!O42/'Bulk Calculator'!J42/'Bulk Calculator'!K42*100),"")</f>
        <v>0</v>
      </c>
      <c r="K464">
        <f>IFERROR(G464*B464*'Bulk Calculator'!J42/SQRT('Bulk Calculator'!S42)/1000,"")</f>
        <v>30.376983474334644</v>
      </c>
      <c r="L464">
        <f>IF(OR('Bulk Calculator'!R42="",'Bulk Calculator'!S42="",G464=""),0,IF(K464&gt;='Bulk Calculator'!R42,1,0))</f>
        <v>1</v>
      </c>
      <c r="M464">
        <f>IF(AND(H464=1,I464&lt;='OS-DORAEN'!$B$6,J464&lt;='OS-DORAEN'!$B$5,L464=1),1,0)</f>
        <v>1</v>
      </c>
      <c r="N464" t="str">
        <f t="shared" si="7"/>
        <v>R/X</v>
      </c>
    </row>
    <row r="465" spans="1:14" ht="15" customHeight="1" x14ac:dyDescent="0.35">
      <c r="A465">
        <v>42</v>
      </c>
      <c r="B465">
        <v>70</v>
      </c>
      <c r="C465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Master'!$F:$F,B465),"")</f>
        <v>179</v>
      </c>
      <c r="D465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Master'!$F:$F,B465),"")</f>
        <v>0.56699999999999995</v>
      </c>
      <c r="E465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Master'!$F:$F,B465),"")</f>
        <v>0.56699999999999995</v>
      </c>
      <c r="F465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Master'!$F:$F,B465),"")</f>
        <v>7.6999999999999999E-2</v>
      </c>
      <c r="G465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Master'!$F:$F,B465),"")</f>
        <v>143</v>
      </c>
      <c r="H465">
        <f>IF(AND(ISNUMBER(C465),C465&gt;='Bulk Calculator'!U42/('Bulk Calculator'!J42*'Bulk Calculator'!L42)),1,0)</f>
        <v>1</v>
      </c>
      <c r="I465">
        <f>IFERROR(IF(AND(ISNUMBER(E465),ISNUMBER(F465),E465&gt;0,F465&gt;0),SQRT(3)*'Bulk Calculator'!O42*'Bulk Calculator'!AA42*((E465*'Bulk Calculator'!Q42)+(F465*SQRT(1-'Bulk Calculator'!Q42^2)))/'Bulk Calculator'!J42/'Bulk Calculator'!K42*100,D465*'Bulk Calculator'!AA42*'Bulk Calculator'!O42/'Bulk Calculator'!J42/'Bulk Calculator'!K42*100),"")</f>
        <v>0</v>
      </c>
      <c r="J465">
        <f>IFERROR(IF(AND(ISNUMBER(E465),ISNUMBER(F465),E465&gt;0,F465&gt;0),SQRT(3)*'Bulk Calculator'!O42*'Bulk Calculator'!U42*((E465*'Bulk Calculator'!M42)+(F465*SQRT(1-'Bulk Calculator'!M42^2)))/'Bulk Calculator'!J42/'Bulk Calculator'!K42*100,D465*'Bulk Calculator'!U42*'Bulk Calculator'!O42/'Bulk Calculator'!J42/'Bulk Calculator'!K42*100),"")</f>
        <v>0</v>
      </c>
      <c r="K465">
        <f>IFERROR(G465*B465*'Bulk Calculator'!J42/SQRT('Bulk Calculator'!S42)/1000,"")</f>
        <v>22.383040454772893</v>
      </c>
      <c r="L465">
        <f>IF(OR('Bulk Calculator'!R42="",'Bulk Calculator'!S42="",G465=""),0,IF(K465&gt;='Bulk Calculator'!R42,1,0))</f>
        <v>1</v>
      </c>
      <c r="M465">
        <f>IF(AND(H465=1,I465&lt;='OS-DORAEN'!$B$6,J465&lt;='OS-DORAEN'!$B$5,L465=1),1,0)</f>
        <v>1</v>
      </c>
      <c r="N465" t="str">
        <f t="shared" si="7"/>
        <v>R/X</v>
      </c>
    </row>
    <row r="466" spans="1:14" ht="15" customHeight="1" x14ac:dyDescent="0.35">
      <c r="A466">
        <v>42</v>
      </c>
      <c r="B466">
        <v>50</v>
      </c>
      <c r="C466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Master'!$F:$F,B466),"")</f>
        <v>142</v>
      </c>
      <c r="D466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Master'!$F:$F,B466),"")</f>
        <v>0.82</v>
      </c>
      <c r="E466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Master'!$F:$F,B466),"")</f>
        <v>0.82</v>
      </c>
      <c r="F466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Master'!$F:$F,B466),"")</f>
        <v>7.8E-2</v>
      </c>
      <c r="G466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Master'!$F:$F,B466),"")</f>
        <v>143</v>
      </c>
      <c r="H466">
        <f>IF(AND(ISNUMBER(C466),C466&gt;='Bulk Calculator'!U42/('Bulk Calculator'!J42*'Bulk Calculator'!L42)),1,0)</f>
        <v>1</v>
      </c>
      <c r="I466">
        <f>IFERROR(IF(AND(ISNUMBER(E466),ISNUMBER(F466),E466&gt;0,F466&gt;0),SQRT(3)*'Bulk Calculator'!O42*'Bulk Calculator'!AA42*((E466*'Bulk Calculator'!Q42)+(F466*SQRT(1-'Bulk Calculator'!Q42^2)))/'Bulk Calculator'!J42/'Bulk Calculator'!K42*100,D466*'Bulk Calculator'!AA42*'Bulk Calculator'!O42/'Bulk Calculator'!J42/'Bulk Calculator'!K42*100),"")</f>
        <v>0</v>
      </c>
      <c r="J466">
        <f>IFERROR(IF(AND(ISNUMBER(E466),ISNUMBER(F466),E466&gt;0,F466&gt;0),SQRT(3)*'Bulk Calculator'!O42*'Bulk Calculator'!U42*((E466*'Bulk Calculator'!M42)+(F466*SQRT(1-'Bulk Calculator'!M42^2)))/'Bulk Calculator'!J42/'Bulk Calculator'!K42*100,D466*'Bulk Calculator'!U42*'Bulk Calculator'!O42/'Bulk Calculator'!J42/'Bulk Calculator'!K42*100),"")</f>
        <v>0</v>
      </c>
      <c r="K466">
        <f>IFERROR(G466*B466*'Bulk Calculator'!J42/SQRT('Bulk Calculator'!S42)/1000,"")</f>
        <v>15.987886039123497</v>
      </c>
      <c r="L466">
        <f>IF(OR('Bulk Calculator'!R42="",'Bulk Calculator'!S42="",G466=""),0,IF(K466&gt;='Bulk Calculator'!R42,1,0))</f>
        <v>1</v>
      </c>
      <c r="M466">
        <f>IF(AND(H466=1,I466&lt;='OS-DORAEN'!$B$6,J466&lt;='OS-DORAEN'!$B$5,L466=1),1,0)</f>
        <v>1</v>
      </c>
      <c r="N466" t="str">
        <f t="shared" si="7"/>
        <v>R/X</v>
      </c>
    </row>
    <row r="467" spans="1:14" ht="15" customHeight="1" x14ac:dyDescent="0.35">
      <c r="A467">
        <v>42</v>
      </c>
      <c r="B467">
        <v>35</v>
      </c>
      <c r="C467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Master'!$F:$F,B467),"")</f>
        <v>117</v>
      </c>
      <c r="D467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Master'!$F:$F,B467),"")</f>
        <v>1.1100000000000001</v>
      </c>
      <c r="E467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Master'!$F:$F,B467),"")</f>
        <v>1.1100000000000001</v>
      </c>
      <c r="F467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Master'!$F:$F,B467),"")</f>
        <v>0.08</v>
      </c>
      <c r="G467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Master'!$F:$F,B467),"")</f>
        <v>143</v>
      </c>
      <c r="H467">
        <f>IF(AND(ISNUMBER(C467),C467&gt;='Bulk Calculator'!U42/('Bulk Calculator'!J42*'Bulk Calculator'!L42)),1,0)</f>
        <v>1</v>
      </c>
      <c r="I467">
        <f>IFERROR(IF(AND(ISNUMBER(E467),ISNUMBER(F467),E467&gt;0,F467&gt;0),SQRT(3)*'Bulk Calculator'!O42*'Bulk Calculator'!AA42*((E467*'Bulk Calculator'!Q42)+(F467*SQRT(1-'Bulk Calculator'!Q42^2)))/'Bulk Calculator'!J42/'Bulk Calculator'!K42*100,D467*'Bulk Calculator'!AA42*'Bulk Calculator'!O42/'Bulk Calculator'!J42/'Bulk Calculator'!K42*100),"")</f>
        <v>0</v>
      </c>
      <c r="J467">
        <f>IFERROR(IF(AND(ISNUMBER(E467),ISNUMBER(F467),E467&gt;0,F467&gt;0),SQRT(3)*'Bulk Calculator'!O42*'Bulk Calculator'!U42*((E467*'Bulk Calculator'!M42)+(F467*SQRT(1-'Bulk Calculator'!M42^2)))/'Bulk Calculator'!J42/'Bulk Calculator'!K42*100,D467*'Bulk Calculator'!U42*'Bulk Calculator'!O42/'Bulk Calculator'!J42/'Bulk Calculator'!K42*100),"")</f>
        <v>0</v>
      </c>
      <c r="K467">
        <f>IFERROR(G467*B467*'Bulk Calculator'!J42/SQRT('Bulk Calculator'!S42)/1000,"")</f>
        <v>11.191520227386446</v>
      </c>
      <c r="L467">
        <f>IF(OR('Bulk Calculator'!R42="",'Bulk Calculator'!S42="",G467=""),0,IF(K467&gt;='Bulk Calculator'!R42,1,0))</f>
        <v>1</v>
      </c>
      <c r="M467">
        <f>IF(AND(H467=1,I467&lt;='OS-DORAEN'!$B$6,J467&lt;='OS-DORAEN'!$B$5,L467=1),1,0)</f>
        <v>1</v>
      </c>
      <c r="N467" t="str">
        <f t="shared" si="7"/>
        <v>R/X</v>
      </c>
    </row>
    <row r="468" spans="1:14" ht="15" customHeight="1" x14ac:dyDescent="0.35">
      <c r="A468">
        <v>42</v>
      </c>
      <c r="B468">
        <v>25</v>
      </c>
      <c r="C468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Master'!$F:$F,B468),"")</f>
        <v>96</v>
      </c>
      <c r="D468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Master'!$F:$F,B468),"")</f>
        <v>1.54</v>
      </c>
      <c r="E468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Master'!$F:$F,B468),"")</f>
        <v>1.54</v>
      </c>
      <c r="F468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Master'!$F:$F,B468),"")</f>
        <v>0.08</v>
      </c>
      <c r="G468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Master'!$F:$F,B468),"")</f>
        <v>143</v>
      </c>
      <c r="H468">
        <f>IF(AND(ISNUMBER(C468),C468&gt;='Bulk Calculator'!U42/('Bulk Calculator'!J42*'Bulk Calculator'!L42)),1,0)</f>
        <v>1</v>
      </c>
      <c r="I468">
        <f>IFERROR(IF(AND(ISNUMBER(E468),ISNUMBER(F468),E468&gt;0,F468&gt;0),SQRT(3)*'Bulk Calculator'!O42*'Bulk Calculator'!AA42*((E468*'Bulk Calculator'!Q42)+(F468*SQRT(1-'Bulk Calculator'!Q42^2)))/'Bulk Calculator'!J42/'Bulk Calculator'!K42*100,D468*'Bulk Calculator'!AA42*'Bulk Calculator'!O42/'Bulk Calculator'!J42/'Bulk Calculator'!K42*100),"")</f>
        <v>0</v>
      </c>
      <c r="J468">
        <f>IFERROR(IF(AND(ISNUMBER(E468),ISNUMBER(F468),E468&gt;0,F468&gt;0),SQRT(3)*'Bulk Calculator'!O42*'Bulk Calculator'!U42*((E468*'Bulk Calculator'!M42)+(F468*SQRT(1-'Bulk Calculator'!M42^2)))/'Bulk Calculator'!J42/'Bulk Calculator'!K42*100,D468*'Bulk Calculator'!U42*'Bulk Calculator'!O42/'Bulk Calculator'!J42/'Bulk Calculator'!K42*100),"")</f>
        <v>0</v>
      </c>
      <c r="K468">
        <f>IFERROR(G468*B468*'Bulk Calculator'!J42/SQRT('Bulk Calculator'!S42)/1000,"")</f>
        <v>7.9939430195617485</v>
      </c>
      <c r="L468">
        <f>IF(OR('Bulk Calculator'!R42="",'Bulk Calculator'!S42="",G468=""),0,IF(K468&gt;='Bulk Calculator'!R42,1,0))</f>
        <v>1</v>
      </c>
      <c r="M468">
        <f>IF(AND(H468=1,I468&lt;='OS-DORAEN'!$B$6,J468&lt;='OS-DORAEN'!$B$5,L468=1),1,0)</f>
        <v>1</v>
      </c>
      <c r="N468" t="str">
        <f t="shared" si="7"/>
        <v>R/X</v>
      </c>
    </row>
    <row r="469" spans="1:14" ht="15" customHeight="1" x14ac:dyDescent="0.35">
      <c r="A469">
        <v>42</v>
      </c>
      <c r="B469">
        <v>16</v>
      </c>
      <c r="C469">
        <f>IFERROR(SUMIFS('Cable Data Master'!$G:$G,'Cable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Master'!$F:$F,B469),"")</f>
        <v>0</v>
      </c>
      <c r="D469">
        <f>IFERROR(SUMIFS('Cable Data Master'!$K:$K,'Cable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Master'!$F:$F,B469),"")</f>
        <v>0</v>
      </c>
      <c r="E469">
        <f>IFERROR(SUMIFS('Cable Data Master'!$H:$H,'Cable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Master'!$F:$F,B469),"")</f>
        <v>0</v>
      </c>
      <c r="F469">
        <f>IFERROR(SUMIFS('Cable Data Master'!$I:$I,'Cable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Master'!$F:$F,B469),"")</f>
        <v>0</v>
      </c>
      <c r="G469">
        <f>IFERROR(SUMIFS('Cable Data Master'!$J:$J,'Cable Data Master'!$A:$A,'Bulk Calculator'!$BF42,'Cable Data Master'!$B:$B,'Bulk Calculator'!$BG42,'Cable Data Master'!$C:$C,'Bulk Calculator'!$BH42,'Cable Data Master'!$D:$D,'Bulk Calculator'!$BI42,'Cable Data Master'!$E:$E,'Bulk Calculator'!$BJ42,'Cable Data Master'!$F:$F,B469),"")</f>
        <v>0</v>
      </c>
      <c r="H469">
        <f>IF(AND(ISNUMBER(C469),C469&gt;='Bulk Calculator'!U42/('Bulk Calculator'!J42*'Bulk Calculator'!L42)),1,0)</f>
        <v>1</v>
      </c>
      <c r="I469">
        <f>IFERROR(IF(AND(ISNUMBER(E469),ISNUMBER(F469),E469&gt;0,F469&gt;0),SQRT(3)*'Bulk Calculator'!O42*'Bulk Calculator'!AA42*((E469*'Bulk Calculator'!Q42)+(F469*SQRT(1-'Bulk Calculator'!Q42^2)))/'Bulk Calculator'!J42/'Bulk Calculator'!K42*100,D469*'Bulk Calculator'!AA42*'Bulk Calculator'!O42/'Bulk Calculator'!J42/'Bulk Calculator'!K42*100),"")</f>
        <v>0</v>
      </c>
      <c r="J469">
        <f>IFERROR(IF(AND(ISNUMBER(E469),ISNUMBER(F469),E469&gt;0,F469&gt;0),SQRT(3)*'Bulk Calculator'!O42*'Bulk Calculator'!U42*((E469*'Bulk Calculator'!M42)+(F469*SQRT(1-'Bulk Calculator'!M42^2)))/'Bulk Calculator'!J42/'Bulk Calculator'!K42*100,D469*'Bulk Calculator'!U42*'Bulk Calculator'!O42/'Bulk Calculator'!J42/'Bulk Calculator'!K42*100),"")</f>
        <v>0</v>
      </c>
      <c r="K469">
        <f>IFERROR(G469*B469*'Bulk Calculator'!J42/SQRT('Bulk Calculator'!S42)/1000,"")</f>
        <v>0</v>
      </c>
      <c r="L469">
        <f>IF(OR('Bulk Calculator'!R42="",'Bulk Calculator'!S42="",G469=""),0,IF(K469&gt;='Bulk Calculator'!R42,1,0))</f>
        <v>1</v>
      </c>
      <c r="M469">
        <f>IF(AND(H469=1,I469&lt;='OS-DORAEN'!$B$6,J469&lt;='OS-DORAEN'!$B$5,L469=1),1,0)</f>
        <v>1</v>
      </c>
      <c r="N469" t="str">
        <f t="shared" si="7"/>
        <v>Manufacturer VD Ref</v>
      </c>
    </row>
    <row r="470" spans="1:14" ht="15" customHeight="1" x14ac:dyDescent="0.35">
      <c r="A470">
        <v>43</v>
      </c>
      <c r="B470">
        <v>400</v>
      </c>
      <c r="C470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Master'!$F:$F,B470),"")</f>
        <v>530</v>
      </c>
      <c r="D470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Master'!$F:$F,B470),"")</f>
        <v>0.1023</v>
      </c>
      <c r="E470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Master'!$F:$F,B470),"")</f>
        <v>0.1023</v>
      </c>
      <c r="F470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Master'!$F:$F,B470),"")</f>
        <v>7.0000000000000007E-2</v>
      </c>
      <c r="G470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Master'!$F:$F,B470),"")</f>
        <v>143</v>
      </c>
      <c r="H470">
        <f>IF(AND(ISNUMBER(C470),C470&gt;='Bulk Calculator'!U43/('Bulk Calculator'!J43*'Bulk Calculator'!L43)),1,0)</f>
        <v>1</v>
      </c>
      <c r="I470">
        <f>IFERROR(IF(AND(ISNUMBER(E470),ISNUMBER(F470),E470&gt;0,F470&gt;0),SQRT(3)*'Bulk Calculator'!O43*'Bulk Calculator'!AA43*((E470*'Bulk Calculator'!Q43)+(F470*SQRT(1-'Bulk Calculator'!Q43^2)))/'Bulk Calculator'!J43/'Bulk Calculator'!K43*100,D470*'Bulk Calculator'!AA43*'Bulk Calculator'!O43/'Bulk Calculator'!J43/'Bulk Calculator'!K43*100),"")</f>
        <v>0</v>
      </c>
      <c r="J470">
        <f>IFERROR(IF(AND(ISNUMBER(E470),ISNUMBER(F470),E470&gt;0,F470&gt;0),SQRT(3)*'Bulk Calculator'!O43*'Bulk Calculator'!U43*((E470*'Bulk Calculator'!M43)+(F470*SQRT(1-'Bulk Calculator'!M43^2)))/'Bulk Calculator'!J43/'Bulk Calculator'!K43*100,D470*'Bulk Calculator'!U43*'Bulk Calculator'!O43/'Bulk Calculator'!J43/'Bulk Calculator'!K43*100),"")</f>
        <v>0</v>
      </c>
      <c r="K470">
        <f>IFERROR(G470*B470*'Bulk Calculator'!J43/SQRT('Bulk Calculator'!S43)/1000,"")</f>
        <v>127.90308831298798</v>
      </c>
      <c r="L470">
        <f>IF(OR('Bulk Calculator'!R43="",'Bulk Calculator'!S43="",G470=""),0,IF(K470&gt;='Bulk Calculator'!R43,1,0))</f>
        <v>1</v>
      </c>
      <c r="M470">
        <f>IF(AND(H470=1,I470&lt;='OS-DORAEN'!$B$6,J470&lt;='OS-DORAEN'!$B$5,L470=1),1,0)</f>
        <v>1</v>
      </c>
      <c r="N470" t="str">
        <f t="shared" si="7"/>
        <v>R/X</v>
      </c>
    </row>
    <row r="471" spans="1:14" ht="15" customHeight="1" x14ac:dyDescent="0.35">
      <c r="A471">
        <v>43</v>
      </c>
      <c r="B471">
        <v>300</v>
      </c>
      <c r="C471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Master'!$F:$F,B471),"")</f>
        <v>455</v>
      </c>
      <c r="D471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Master'!$F:$F,B471),"")</f>
        <v>0.13</v>
      </c>
      <c r="E471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Master'!$F:$F,B471),"")</f>
        <v>0.13</v>
      </c>
      <c r="F471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Master'!$F:$F,B471),"")</f>
        <v>7.0999999999999994E-2</v>
      </c>
      <c r="G471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Master'!$F:$F,B471),"")</f>
        <v>143</v>
      </c>
      <c r="H471">
        <f>IF(AND(ISNUMBER(C471),C471&gt;='Bulk Calculator'!U43/('Bulk Calculator'!J43*'Bulk Calculator'!L43)),1,0)</f>
        <v>1</v>
      </c>
      <c r="I471">
        <f>IFERROR(IF(AND(ISNUMBER(E471),ISNUMBER(F471),E471&gt;0,F471&gt;0),SQRT(3)*'Bulk Calculator'!O43*'Bulk Calculator'!AA43*((E471*'Bulk Calculator'!Q43)+(F471*SQRT(1-'Bulk Calculator'!Q43^2)))/'Bulk Calculator'!J43/'Bulk Calculator'!K43*100,D471*'Bulk Calculator'!AA43*'Bulk Calculator'!O43/'Bulk Calculator'!J43/'Bulk Calculator'!K43*100),"")</f>
        <v>0</v>
      </c>
      <c r="J471">
        <f>IFERROR(IF(AND(ISNUMBER(E471),ISNUMBER(F471),E471&gt;0,F471&gt;0),SQRT(3)*'Bulk Calculator'!O43*'Bulk Calculator'!U43*((E471*'Bulk Calculator'!M43)+(F471*SQRT(1-'Bulk Calculator'!M43^2)))/'Bulk Calculator'!J43/'Bulk Calculator'!K43*100,D471*'Bulk Calculator'!U43*'Bulk Calculator'!O43/'Bulk Calculator'!J43/'Bulk Calculator'!K43*100),"")</f>
        <v>0</v>
      </c>
      <c r="K471">
        <f>IFERROR(G471*B471*'Bulk Calculator'!J43/SQRT('Bulk Calculator'!S43)/1000,"")</f>
        <v>95.927316234740985</v>
      </c>
      <c r="L471">
        <f>IF(OR('Bulk Calculator'!R43="",'Bulk Calculator'!S43="",G471=""),0,IF(K471&gt;='Bulk Calculator'!R43,1,0))</f>
        <v>1</v>
      </c>
      <c r="M471">
        <f>IF(AND(H471=1,I471&lt;='OS-DORAEN'!$B$6,J471&lt;='OS-DORAEN'!$B$5,L471=1),1,0)</f>
        <v>1</v>
      </c>
      <c r="N471" t="str">
        <f t="shared" si="7"/>
        <v>R/X</v>
      </c>
    </row>
    <row r="472" spans="1:14" ht="15" customHeight="1" x14ac:dyDescent="0.35">
      <c r="A472">
        <v>43</v>
      </c>
      <c r="B472">
        <v>240</v>
      </c>
      <c r="C472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Master'!$F:$F,B472),"")</f>
        <v>399</v>
      </c>
      <c r="D472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Master'!$F:$F,B472),"")</f>
        <v>0.16200000000000001</v>
      </c>
      <c r="E472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Master'!$F:$F,B472),"")</f>
        <v>0.16200000000000001</v>
      </c>
      <c r="F472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Master'!$F:$F,B472),"")</f>
        <v>7.1999999999999995E-2</v>
      </c>
      <c r="G472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Master'!$F:$F,B472),"")</f>
        <v>143</v>
      </c>
      <c r="H472">
        <f>IF(AND(ISNUMBER(C472),C472&gt;='Bulk Calculator'!U43/('Bulk Calculator'!J43*'Bulk Calculator'!L43)),1,0)</f>
        <v>1</v>
      </c>
      <c r="I472">
        <f>IFERROR(IF(AND(ISNUMBER(E472),ISNUMBER(F472),E472&gt;0,F472&gt;0),SQRT(3)*'Bulk Calculator'!O43*'Bulk Calculator'!AA43*((E472*'Bulk Calculator'!Q43)+(F472*SQRT(1-'Bulk Calculator'!Q43^2)))/'Bulk Calculator'!J43/'Bulk Calculator'!K43*100,D472*'Bulk Calculator'!AA43*'Bulk Calculator'!O43/'Bulk Calculator'!J43/'Bulk Calculator'!K43*100),"")</f>
        <v>0</v>
      </c>
      <c r="J472">
        <f>IFERROR(IF(AND(ISNUMBER(E472),ISNUMBER(F472),E472&gt;0,F472&gt;0),SQRT(3)*'Bulk Calculator'!O43*'Bulk Calculator'!U43*((E472*'Bulk Calculator'!M43)+(F472*SQRT(1-'Bulk Calculator'!M43^2)))/'Bulk Calculator'!J43/'Bulk Calculator'!K43*100,D472*'Bulk Calculator'!U43*'Bulk Calculator'!O43/'Bulk Calculator'!J43/'Bulk Calculator'!K43*100),"")</f>
        <v>0</v>
      </c>
      <c r="K472">
        <f>IFERROR(G472*B472*'Bulk Calculator'!J43/SQRT('Bulk Calculator'!S43)/1000,"")</f>
        <v>76.741852987792782</v>
      </c>
      <c r="L472">
        <f>IF(OR('Bulk Calculator'!R43="",'Bulk Calculator'!S43="",G472=""),0,IF(K472&gt;='Bulk Calculator'!R43,1,0))</f>
        <v>1</v>
      </c>
      <c r="M472">
        <f>IF(AND(H472=1,I472&lt;='OS-DORAEN'!$B$6,J472&lt;='OS-DORAEN'!$B$5,L472=1),1,0)</f>
        <v>1</v>
      </c>
      <c r="N472" t="str">
        <f t="shared" si="7"/>
        <v>R/X</v>
      </c>
    </row>
    <row r="473" spans="1:14" ht="15" customHeight="1" x14ac:dyDescent="0.35">
      <c r="A473">
        <v>43</v>
      </c>
      <c r="B473">
        <v>185</v>
      </c>
      <c r="C473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Master'!$F:$F,B473),"")</f>
        <v>337</v>
      </c>
      <c r="D473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Master'!$F:$F,B473),"")</f>
        <v>0.21099999999999999</v>
      </c>
      <c r="E473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Master'!$F:$F,B473),"")</f>
        <v>0.21099999999999999</v>
      </c>
      <c r="F473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Master'!$F:$F,B473),"")</f>
        <v>7.1999999999999995E-2</v>
      </c>
      <c r="G473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Master'!$F:$F,B473),"")</f>
        <v>143</v>
      </c>
      <c r="H473">
        <f>IF(AND(ISNUMBER(C473),C473&gt;='Bulk Calculator'!U43/('Bulk Calculator'!J43*'Bulk Calculator'!L43)),1,0)</f>
        <v>1</v>
      </c>
      <c r="I473">
        <f>IFERROR(IF(AND(ISNUMBER(E473),ISNUMBER(F473),E473&gt;0,F473&gt;0),SQRT(3)*'Bulk Calculator'!O43*'Bulk Calculator'!AA43*((E473*'Bulk Calculator'!Q43)+(F473*SQRT(1-'Bulk Calculator'!Q43^2)))/'Bulk Calculator'!J43/'Bulk Calculator'!K43*100,D473*'Bulk Calculator'!AA43*'Bulk Calculator'!O43/'Bulk Calculator'!J43/'Bulk Calculator'!K43*100),"")</f>
        <v>0</v>
      </c>
      <c r="J473">
        <f>IFERROR(IF(AND(ISNUMBER(E473),ISNUMBER(F473),E473&gt;0,F473&gt;0),SQRT(3)*'Bulk Calculator'!O43*'Bulk Calculator'!U43*((E473*'Bulk Calculator'!M43)+(F473*SQRT(1-'Bulk Calculator'!M43^2)))/'Bulk Calculator'!J43/'Bulk Calculator'!K43*100,D473*'Bulk Calculator'!U43*'Bulk Calculator'!O43/'Bulk Calculator'!J43/'Bulk Calculator'!K43*100),"")</f>
        <v>0</v>
      </c>
      <c r="K473">
        <f>IFERROR(G473*B473*'Bulk Calculator'!J43/SQRT('Bulk Calculator'!S43)/1000,"")</f>
        <v>59.155178344756941</v>
      </c>
      <c r="L473">
        <f>IF(OR('Bulk Calculator'!R43="",'Bulk Calculator'!S43="",G473=""),0,IF(K473&gt;='Bulk Calculator'!R43,1,0))</f>
        <v>1</v>
      </c>
      <c r="M473">
        <f>IF(AND(H473=1,I473&lt;='OS-DORAEN'!$B$6,J473&lt;='OS-DORAEN'!$B$5,L473=1),1,0)</f>
        <v>1</v>
      </c>
      <c r="N473" t="str">
        <f t="shared" si="7"/>
        <v>R/X</v>
      </c>
    </row>
    <row r="474" spans="1:14" ht="15" customHeight="1" x14ac:dyDescent="0.35">
      <c r="A474">
        <v>43</v>
      </c>
      <c r="B474">
        <v>150</v>
      </c>
      <c r="C474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Master'!$F:$F,B474),"")</f>
        <v>292</v>
      </c>
      <c r="D474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Master'!$F:$F,B474),"")</f>
        <v>0.26500000000000001</v>
      </c>
      <c r="E474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Master'!$F:$F,B474),"")</f>
        <v>0.26500000000000001</v>
      </c>
      <c r="F474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Master'!$F:$F,B474),"")</f>
        <v>7.1999999999999995E-2</v>
      </c>
      <c r="G474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Master'!$F:$F,B474),"")</f>
        <v>143</v>
      </c>
      <c r="H474">
        <f>IF(AND(ISNUMBER(C474),C474&gt;='Bulk Calculator'!U43/('Bulk Calculator'!J43*'Bulk Calculator'!L43)),1,0)</f>
        <v>1</v>
      </c>
      <c r="I474">
        <f>IFERROR(IF(AND(ISNUMBER(E474),ISNUMBER(F474),E474&gt;0,F474&gt;0),SQRT(3)*'Bulk Calculator'!O43*'Bulk Calculator'!AA43*((E474*'Bulk Calculator'!Q43)+(F474*SQRT(1-'Bulk Calculator'!Q43^2)))/'Bulk Calculator'!J43/'Bulk Calculator'!K43*100,D474*'Bulk Calculator'!AA43*'Bulk Calculator'!O43/'Bulk Calculator'!J43/'Bulk Calculator'!K43*100),"")</f>
        <v>0</v>
      </c>
      <c r="J474">
        <f>IFERROR(IF(AND(ISNUMBER(E474),ISNUMBER(F474),E474&gt;0,F474&gt;0),SQRT(3)*'Bulk Calculator'!O43*'Bulk Calculator'!U43*((E474*'Bulk Calculator'!M43)+(F474*SQRT(1-'Bulk Calculator'!M43^2)))/'Bulk Calculator'!J43/'Bulk Calculator'!K43*100,D474*'Bulk Calculator'!U43*'Bulk Calculator'!O43/'Bulk Calculator'!J43/'Bulk Calculator'!K43*100),"")</f>
        <v>0</v>
      </c>
      <c r="K474">
        <f>IFERROR(G474*B474*'Bulk Calculator'!J43/SQRT('Bulk Calculator'!S43)/1000,"")</f>
        <v>47.963658117370493</v>
      </c>
      <c r="L474">
        <f>IF(OR('Bulk Calculator'!R43="",'Bulk Calculator'!S43="",G474=""),0,IF(K474&gt;='Bulk Calculator'!R43,1,0))</f>
        <v>1</v>
      </c>
      <c r="M474">
        <f>IF(AND(H474=1,I474&lt;='OS-DORAEN'!$B$6,J474&lt;='OS-DORAEN'!$B$5,L474=1),1,0)</f>
        <v>1</v>
      </c>
      <c r="N474" t="str">
        <f t="shared" si="7"/>
        <v>R/X</v>
      </c>
    </row>
    <row r="475" spans="1:14" ht="15" customHeight="1" x14ac:dyDescent="0.35">
      <c r="A475">
        <v>43</v>
      </c>
      <c r="B475">
        <v>120</v>
      </c>
      <c r="C475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Master'!$F:$F,B475),"")</f>
        <v>257</v>
      </c>
      <c r="D475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Master'!$F:$F,B475),"")</f>
        <v>0.32500000000000001</v>
      </c>
      <c r="E475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Master'!$F:$F,B475),"")</f>
        <v>0.32500000000000001</v>
      </c>
      <c r="F475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Master'!$F:$F,B475),"")</f>
        <v>7.1999999999999995E-2</v>
      </c>
      <c r="G475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Master'!$F:$F,B475),"")</f>
        <v>143</v>
      </c>
      <c r="H475">
        <f>IF(AND(ISNUMBER(C475),C475&gt;='Bulk Calculator'!U43/('Bulk Calculator'!J43*'Bulk Calculator'!L43)),1,0)</f>
        <v>1</v>
      </c>
      <c r="I475">
        <f>IFERROR(IF(AND(ISNUMBER(E475),ISNUMBER(F475),E475&gt;0,F475&gt;0),SQRT(3)*'Bulk Calculator'!O43*'Bulk Calculator'!AA43*((E475*'Bulk Calculator'!Q43)+(F475*SQRT(1-'Bulk Calculator'!Q43^2)))/'Bulk Calculator'!J43/'Bulk Calculator'!K43*100,D475*'Bulk Calculator'!AA43*'Bulk Calculator'!O43/'Bulk Calculator'!J43/'Bulk Calculator'!K43*100),"")</f>
        <v>0</v>
      </c>
      <c r="J475">
        <f>IFERROR(IF(AND(ISNUMBER(E475),ISNUMBER(F475),E475&gt;0,F475&gt;0),SQRT(3)*'Bulk Calculator'!O43*'Bulk Calculator'!U43*((E475*'Bulk Calculator'!M43)+(F475*SQRT(1-'Bulk Calculator'!M43^2)))/'Bulk Calculator'!J43/'Bulk Calculator'!K43*100,D475*'Bulk Calculator'!U43*'Bulk Calculator'!O43/'Bulk Calculator'!J43/'Bulk Calculator'!K43*100),"")</f>
        <v>0</v>
      </c>
      <c r="K475">
        <f>IFERROR(G475*B475*'Bulk Calculator'!J43/SQRT('Bulk Calculator'!S43)/1000,"")</f>
        <v>38.370926493896391</v>
      </c>
      <c r="L475">
        <f>IF(OR('Bulk Calculator'!R43="",'Bulk Calculator'!S43="",G475=""),0,IF(K475&gt;='Bulk Calculator'!R43,1,0))</f>
        <v>1</v>
      </c>
      <c r="M475">
        <f>IF(AND(H475=1,I475&lt;='OS-DORAEN'!$B$6,J475&lt;='OS-DORAEN'!$B$5,L475=1),1,0)</f>
        <v>1</v>
      </c>
      <c r="N475" t="str">
        <f t="shared" si="7"/>
        <v>R/X</v>
      </c>
    </row>
    <row r="476" spans="1:14" ht="15" customHeight="1" x14ac:dyDescent="0.35">
      <c r="A476">
        <v>43</v>
      </c>
      <c r="B476">
        <v>95</v>
      </c>
      <c r="C476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Master'!$F:$F,B476),"")</f>
        <v>221</v>
      </c>
      <c r="D476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Master'!$F:$F,B476),"")</f>
        <v>0.41</v>
      </c>
      <c r="E476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Master'!$F:$F,B476),"")</f>
        <v>0.41</v>
      </c>
      <c r="F476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Master'!$F:$F,B476),"")</f>
        <v>7.3999999999999996E-2</v>
      </c>
      <c r="G476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Master'!$F:$F,B476),"")</f>
        <v>143</v>
      </c>
      <c r="H476">
        <f>IF(AND(ISNUMBER(C476),C476&gt;='Bulk Calculator'!U43/('Bulk Calculator'!J43*'Bulk Calculator'!L43)),1,0)</f>
        <v>1</v>
      </c>
      <c r="I476">
        <f>IFERROR(IF(AND(ISNUMBER(E476),ISNUMBER(F476),E476&gt;0,F476&gt;0),SQRT(3)*'Bulk Calculator'!O43*'Bulk Calculator'!AA43*((E476*'Bulk Calculator'!Q43)+(F476*SQRT(1-'Bulk Calculator'!Q43^2)))/'Bulk Calculator'!J43/'Bulk Calculator'!K43*100,D476*'Bulk Calculator'!AA43*'Bulk Calculator'!O43/'Bulk Calculator'!J43/'Bulk Calculator'!K43*100),"")</f>
        <v>0</v>
      </c>
      <c r="J476">
        <f>IFERROR(IF(AND(ISNUMBER(E476),ISNUMBER(F476),E476&gt;0,F476&gt;0),SQRT(3)*'Bulk Calculator'!O43*'Bulk Calculator'!U43*((E476*'Bulk Calculator'!M43)+(F476*SQRT(1-'Bulk Calculator'!M43^2)))/'Bulk Calculator'!J43/'Bulk Calculator'!K43*100,D476*'Bulk Calculator'!U43*'Bulk Calculator'!O43/'Bulk Calculator'!J43/'Bulk Calculator'!K43*100),"")</f>
        <v>0</v>
      </c>
      <c r="K476">
        <f>IFERROR(G476*B476*'Bulk Calculator'!J43/SQRT('Bulk Calculator'!S43)/1000,"")</f>
        <v>30.376983474334644</v>
      </c>
      <c r="L476">
        <f>IF(OR('Bulk Calculator'!R43="",'Bulk Calculator'!S43="",G476=""),0,IF(K476&gt;='Bulk Calculator'!R43,1,0))</f>
        <v>1</v>
      </c>
      <c r="M476">
        <f>IF(AND(H476=1,I476&lt;='OS-DORAEN'!$B$6,J476&lt;='OS-DORAEN'!$B$5,L476=1),1,0)</f>
        <v>1</v>
      </c>
      <c r="N476" t="str">
        <f t="shared" si="7"/>
        <v>R/X</v>
      </c>
    </row>
    <row r="477" spans="1:14" ht="15" customHeight="1" x14ac:dyDescent="0.35">
      <c r="A477">
        <v>43</v>
      </c>
      <c r="B477">
        <v>70</v>
      </c>
      <c r="C477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Master'!$F:$F,B477),"")</f>
        <v>179</v>
      </c>
      <c r="D477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Master'!$F:$F,B477),"")</f>
        <v>0.56699999999999995</v>
      </c>
      <c r="E477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Master'!$F:$F,B477),"")</f>
        <v>0.56699999999999995</v>
      </c>
      <c r="F477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Master'!$F:$F,B477),"")</f>
        <v>7.6999999999999999E-2</v>
      </c>
      <c r="G477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Master'!$F:$F,B477),"")</f>
        <v>143</v>
      </c>
      <c r="H477">
        <f>IF(AND(ISNUMBER(C477),C477&gt;='Bulk Calculator'!U43/('Bulk Calculator'!J43*'Bulk Calculator'!L43)),1,0)</f>
        <v>1</v>
      </c>
      <c r="I477">
        <f>IFERROR(IF(AND(ISNUMBER(E477),ISNUMBER(F477),E477&gt;0,F477&gt;0),SQRT(3)*'Bulk Calculator'!O43*'Bulk Calculator'!AA43*((E477*'Bulk Calculator'!Q43)+(F477*SQRT(1-'Bulk Calculator'!Q43^2)))/'Bulk Calculator'!J43/'Bulk Calculator'!K43*100,D477*'Bulk Calculator'!AA43*'Bulk Calculator'!O43/'Bulk Calculator'!J43/'Bulk Calculator'!K43*100),"")</f>
        <v>0</v>
      </c>
      <c r="J477">
        <f>IFERROR(IF(AND(ISNUMBER(E477),ISNUMBER(F477),E477&gt;0,F477&gt;0),SQRT(3)*'Bulk Calculator'!O43*'Bulk Calculator'!U43*((E477*'Bulk Calculator'!M43)+(F477*SQRT(1-'Bulk Calculator'!M43^2)))/'Bulk Calculator'!J43/'Bulk Calculator'!K43*100,D477*'Bulk Calculator'!U43*'Bulk Calculator'!O43/'Bulk Calculator'!J43/'Bulk Calculator'!K43*100),"")</f>
        <v>0</v>
      </c>
      <c r="K477">
        <f>IFERROR(G477*B477*'Bulk Calculator'!J43/SQRT('Bulk Calculator'!S43)/1000,"")</f>
        <v>22.383040454772893</v>
      </c>
      <c r="L477">
        <f>IF(OR('Bulk Calculator'!R43="",'Bulk Calculator'!S43="",G477=""),0,IF(K477&gt;='Bulk Calculator'!R43,1,0))</f>
        <v>1</v>
      </c>
      <c r="M477">
        <f>IF(AND(H477=1,I477&lt;='OS-DORAEN'!$B$6,J477&lt;='OS-DORAEN'!$B$5,L477=1),1,0)</f>
        <v>1</v>
      </c>
      <c r="N477" t="str">
        <f t="shared" si="7"/>
        <v>R/X</v>
      </c>
    </row>
    <row r="478" spans="1:14" ht="15" customHeight="1" x14ac:dyDescent="0.35">
      <c r="A478">
        <v>43</v>
      </c>
      <c r="B478">
        <v>50</v>
      </c>
      <c r="C478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Master'!$F:$F,B478),"")</f>
        <v>142</v>
      </c>
      <c r="D478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Master'!$F:$F,B478),"")</f>
        <v>0.82</v>
      </c>
      <c r="E478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Master'!$F:$F,B478),"")</f>
        <v>0.82</v>
      </c>
      <c r="F478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Master'!$F:$F,B478),"")</f>
        <v>7.8E-2</v>
      </c>
      <c r="G478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Master'!$F:$F,B478),"")</f>
        <v>143</v>
      </c>
      <c r="H478">
        <f>IF(AND(ISNUMBER(C478),C478&gt;='Bulk Calculator'!U43/('Bulk Calculator'!J43*'Bulk Calculator'!L43)),1,0)</f>
        <v>1</v>
      </c>
      <c r="I478">
        <f>IFERROR(IF(AND(ISNUMBER(E478),ISNUMBER(F478),E478&gt;0,F478&gt;0),SQRT(3)*'Bulk Calculator'!O43*'Bulk Calculator'!AA43*((E478*'Bulk Calculator'!Q43)+(F478*SQRT(1-'Bulk Calculator'!Q43^2)))/'Bulk Calculator'!J43/'Bulk Calculator'!K43*100,D478*'Bulk Calculator'!AA43*'Bulk Calculator'!O43/'Bulk Calculator'!J43/'Bulk Calculator'!K43*100),"")</f>
        <v>0</v>
      </c>
      <c r="J478">
        <f>IFERROR(IF(AND(ISNUMBER(E478),ISNUMBER(F478),E478&gt;0,F478&gt;0),SQRT(3)*'Bulk Calculator'!O43*'Bulk Calculator'!U43*((E478*'Bulk Calculator'!M43)+(F478*SQRT(1-'Bulk Calculator'!M43^2)))/'Bulk Calculator'!J43/'Bulk Calculator'!K43*100,D478*'Bulk Calculator'!U43*'Bulk Calculator'!O43/'Bulk Calculator'!J43/'Bulk Calculator'!K43*100),"")</f>
        <v>0</v>
      </c>
      <c r="K478">
        <f>IFERROR(G478*B478*'Bulk Calculator'!J43/SQRT('Bulk Calculator'!S43)/1000,"")</f>
        <v>15.987886039123497</v>
      </c>
      <c r="L478">
        <f>IF(OR('Bulk Calculator'!R43="",'Bulk Calculator'!S43="",G478=""),0,IF(K478&gt;='Bulk Calculator'!R43,1,0))</f>
        <v>1</v>
      </c>
      <c r="M478">
        <f>IF(AND(H478=1,I478&lt;='OS-DORAEN'!$B$6,J478&lt;='OS-DORAEN'!$B$5,L478=1),1,0)</f>
        <v>1</v>
      </c>
      <c r="N478" t="str">
        <f t="shared" si="7"/>
        <v>R/X</v>
      </c>
    </row>
    <row r="479" spans="1:14" ht="15" customHeight="1" x14ac:dyDescent="0.35">
      <c r="A479">
        <v>43</v>
      </c>
      <c r="B479">
        <v>35</v>
      </c>
      <c r="C479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Master'!$F:$F,B479),"")</f>
        <v>117</v>
      </c>
      <c r="D479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Master'!$F:$F,B479),"")</f>
        <v>1.1100000000000001</v>
      </c>
      <c r="E479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Master'!$F:$F,B479),"")</f>
        <v>1.1100000000000001</v>
      </c>
      <c r="F479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Master'!$F:$F,B479),"")</f>
        <v>0.08</v>
      </c>
      <c r="G479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Master'!$F:$F,B479),"")</f>
        <v>143</v>
      </c>
      <c r="H479">
        <f>IF(AND(ISNUMBER(C479),C479&gt;='Bulk Calculator'!U43/('Bulk Calculator'!J43*'Bulk Calculator'!L43)),1,0)</f>
        <v>1</v>
      </c>
      <c r="I479">
        <f>IFERROR(IF(AND(ISNUMBER(E479),ISNUMBER(F479),E479&gt;0,F479&gt;0),SQRT(3)*'Bulk Calculator'!O43*'Bulk Calculator'!AA43*((E479*'Bulk Calculator'!Q43)+(F479*SQRT(1-'Bulk Calculator'!Q43^2)))/'Bulk Calculator'!J43/'Bulk Calculator'!K43*100,D479*'Bulk Calculator'!AA43*'Bulk Calculator'!O43/'Bulk Calculator'!J43/'Bulk Calculator'!K43*100),"")</f>
        <v>0</v>
      </c>
      <c r="J479">
        <f>IFERROR(IF(AND(ISNUMBER(E479),ISNUMBER(F479),E479&gt;0,F479&gt;0),SQRT(3)*'Bulk Calculator'!O43*'Bulk Calculator'!U43*((E479*'Bulk Calculator'!M43)+(F479*SQRT(1-'Bulk Calculator'!M43^2)))/'Bulk Calculator'!J43/'Bulk Calculator'!K43*100,D479*'Bulk Calculator'!U43*'Bulk Calculator'!O43/'Bulk Calculator'!J43/'Bulk Calculator'!K43*100),"")</f>
        <v>0</v>
      </c>
      <c r="K479">
        <f>IFERROR(G479*B479*'Bulk Calculator'!J43/SQRT('Bulk Calculator'!S43)/1000,"")</f>
        <v>11.191520227386446</v>
      </c>
      <c r="L479">
        <f>IF(OR('Bulk Calculator'!R43="",'Bulk Calculator'!S43="",G479=""),0,IF(K479&gt;='Bulk Calculator'!R43,1,0))</f>
        <v>1</v>
      </c>
      <c r="M479">
        <f>IF(AND(H479=1,I479&lt;='OS-DORAEN'!$B$6,J479&lt;='OS-DORAEN'!$B$5,L479=1),1,0)</f>
        <v>1</v>
      </c>
      <c r="N479" t="str">
        <f t="shared" si="7"/>
        <v>R/X</v>
      </c>
    </row>
    <row r="480" spans="1:14" ht="15" customHeight="1" x14ac:dyDescent="0.35">
      <c r="A480">
        <v>43</v>
      </c>
      <c r="B480">
        <v>25</v>
      </c>
      <c r="C480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Master'!$F:$F,B480),"")</f>
        <v>96</v>
      </c>
      <c r="D480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Master'!$F:$F,B480),"")</f>
        <v>1.54</v>
      </c>
      <c r="E480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Master'!$F:$F,B480),"")</f>
        <v>1.54</v>
      </c>
      <c r="F480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Master'!$F:$F,B480),"")</f>
        <v>0.08</v>
      </c>
      <c r="G480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Master'!$F:$F,B480),"")</f>
        <v>143</v>
      </c>
      <c r="H480">
        <f>IF(AND(ISNUMBER(C480),C480&gt;='Bulk Calculator'!U43/('Bulk Calculator'!J43*'Bulk Calculator'!L43)),1,0)</f>
        <v>1</v>
      </c>
      <c r="I480">
        <f>IFERROR(IF(AND(ISNUMBER(E480),ISNUMBER(F480),E480&gt;0,F480&gt;0),SQRT(3)*'Bulk Calculator'!O43*'Bulk Calculator'!AA43*((E480*'Bulk Calculator'!Q43)+(F480*SQRT(1-'Bulk Calculator'!Q43^2)))/'Bulk Calculator'!J43/'Bulk Calculator'!K43*100,D480*'Bulk Calculator'!AA43*'Bulk Calculator'!O43/'Bulk Calculator'!J43/'Bulk Calculator'!K43*100),"")</f>
        <v>0</v>
      </c>
      <c r="J480">
        <f>IFERROR(IF(AND(ISNUMBER(E480),ISNUMBER(F480),E480&gt;0,F480&gt;0),SQRT(3)*'Bulk Calculator'!O43*'Bulk Calculator'!U43*((E480*'Bulk Calculator'!M43)+(F480*SQRT(1-'Bulk Calculator'!M43^2)))/'Bulk Calculator'!J43/'Bulk Calculator'!K43*100,D480*'Bulk Calculator'!U43*'Bulk Calculator'!O43/'Bulk Calculator'!J43/'Bulk Calculator'!K43*100),"")</f>
        <v>0</v>
      </c>
      <c r="K480">
        <f>IFERROR(G480*B480*'Bulk Calculator'!J43/SQRT('Bulk Calculator'!S43)/1000,"")</f>
        <v>7.9939430195617485</v>
      </c>
      <c r="L480">
        <f>IF(OR('Bulk Calculator'!R43="",'Bulk Calculator'!S43="",G480=""),0,IF(K480&gt;='Bulk Calculator'!R43,1,0))</f>
        <v>1</v>
      </c>
      <c r="M480">
        <f>IF(AND(H480=1,I480&lt;='OS-DORAEN'!$B$6,J480&lt;='OS-DORAEN'!$B$5,L480=1),1,0)</f>
        <v>1</v>
      </c>
      <c r="N480" t="str">
        <f t="shared" si="7"/>
        <v>R/X</v>
      </c>
    </row>
    <row r="481" spans="1:14" ht="15" customHeight="1" x14ac:dyDescent="0.35">
      <c r="A481">
        <v>43</v>
      </c>
      <c r="B481">
        <v>16</v>
      </c>
      <c r="C481">
        <f>IFERROR(SUMIFS('Cable Data Master'!$G:$G,'Cable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Master'!$F:$F,B481),"")</f>
        <v>0</v>
      </c>
      <c r="D481">
        <f>IFERROR(SUMIFS('Cable Data Master'!$K:$K,'Cable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Master'!$F:$F,B481),"")</f>
        <v>0</v>
      </c>
      <c r="E481">
        <f>IFERROR(SUMIFS('Cable Data Master'!$H:$H,'Cable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Master'!$F:$F,B481),"")</f>
        <v>0</v>
      </c>
      <c r="F481">
        <f>IFERROR(SUMIFS('Cable Data Master'!$I:$I,'Cable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Master'!$F:$F,B481),"")</f>
        <v>0</v>
      </c>
      <c r="G481">
        <f>IFERROR(SUMIFS('Cable Data Master'!$J:$J,'Cable Data Master'!$A:$A,'Bulk Calculator'!$BF43,'Cable Data Master'!$B:$B,'Bulk Calculator'!$BG43,'Cable Data Master'!$C:$C,'Bulk Calculator'!$BH43,'Cable Data Master'!$D:$D,'Bulk Calculator'!$BI43,'Cable Data Master'!$E:$E,'Bulk Calculator'!$BJ43,'Cable Data Master'!$F:$F,B481),"")</f>
        <v>0</v>
      </c>
      <c r="H481">
        <f>IF(AND(ISNUMBER(C481),C481&gt;='Bulk Calculator'!U43/('Bulk Calculator'!J43*'Bulk Calculator'!L43)),1,0)</f>
        <v>1</v>
      </c>
      <c r="I481">
        <f>IFERROR(IF(AND(ISNUMBER(E481),ISNUMBER(F481),E481&gt;0,F481&gt;0),SQRT(3)*'Bulk Calculator'!O43*'Bulk Calculator'!AA43*((E481*'Bulk Calculator'!Q43)+(F481*SQRT(1-'Bulk Calculator'!Q43^2)))/'Bulk Calculator'!J43/'Bulk Calculator'!K43*100,D481*'Bulk Calculator'!AA43*'Bulk Calculator'!O43/'Bulk Calculator'!J43/'Bulk Calculator'!K43*100),"")</f>
        <v>0</v>
      </c>
      <c r="J481">
        <f>IFERROR(IF(AND(ISNUMBER(E481),ISNUMBER(F481),E481&gt;0,F481&gt;0),SQRT(3)*'Bulk Calculator'!O43*'Bulk Calculator'!U43*((E481*'Bulk Calculator'!M43)+(F481*SQRT(1-'Bulk Calculator'!M43^2)))/'Bulk Calculator'!J43/'Bulk Calculator'!K43*100,D481*'Bulk Calculator'!U43*'Bulk Calculator'!O43/'Bulk Calculator'!J43/'Bulk Calculator'!K43*100),"")</f>
        <v>0</v>
      </c>
      <c r="K481">
        <f>IFERROR(G481*B481*'Bulk Calculator'!J43/SQRT('Bulk Calculator'!S43)/1000,"")</f>
        <v>0</v>
      </c>
      <c r="L481">
        <f>IF(OR('Bulk Calculator'!R43="",'Bulk Calculator'!S43="",G481=""),0,IF(K481&gt;='Bulk Calculator'!R43,1,0))</f>
        <v>1</v>
      </c>
      <c r="M481">
        <f>IF(AND(H481=1,I481&lt;='OS-DORAEN'!$B$6,J481&lt;='OS-DORAEN'!$B$5,L481=1),1,0)</f>
        <v>1</v>
      </c>
      <c r="N481" t="str">
        <f t="shared" si="7"/>
        <v>Manufacturer VD Ref</v>
      </c>
    </row>
    <row r="482" spans="1:14" ht="15" customHeight="1" x14ac:dyDescent="0.35">
      <c r="A482">
        <v>44</v>
      </c>
      <c r="B482">
        <v>400</v>
      </c>
      <c r="C482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Master'!$F:$F,B482),"")</f>
        <v>530</v>
      </c>
      <c r="D482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Master'!$F:$F,B482),"")</f>
        <v>0.1023</v>
      </c>
      <c r="E482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Master'!$F:$F,B482),"")</f>
        <v>0.1023</v>
      </c>
      <c r="F482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Master'!$F:$F,B482),"")</f>
        <v>7.0000000000000007E-2</v>
      </c>
      <c r="G482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Master'!$F:$F,B482),"")</f>
        <v>143</v>
      </c>
      <c r="H482">
        <f>IF(AND(ISNUMBER(C482),C482&gt;='Bulk Calculator'!U44/('Bulk Calculator'!J44*'Bulk Calculator'!L44)),1,0)</f>
        <v>1</v>
      </c>
      <c r="I482">
        <f>IFERROR(IF(AND(ISNUMBER(E482),ISNUMBER(F482),E482&gt;0,F482&gt;0),SQRT(3)*'Bulk Calculator'!O44*'Bulk Calculator'!AA44*((E482*'Bulk Calculator'!Q44)+(F482*SQRT(1-'Bulk Calculator'!Q44^2)))/'Bulk Calculator'!J44/'Bulk Calculator'!K44*100,D482*'Bulk Calculator'!AA44*'Bulk Calculator'!O44/'Bulk Calculator'!J44/'Bulk Calculator'!K44*100),"")</f>
        <v>0</v>
      </c>
      <c r="J482">
        <f>IFERROR(IF(AND(ISNUMBER(E482),ISNUMBER(F482),E482&gt;0,F482&gt;0),SQRT(3)*'Bulk Calculator'!O44*'Bulk Calculator'!U44*((E482*'Bulk Calculator'!M44)+(F482*SQRT(1-'Bulk Calculator'!M44^2)))/'Bulk Calculator'!J44/'Bulk Calculator'!K44*100,D482*'Bulk Calculator'!U44*'Bulk Calculator'!O44/'Bulk Calculator'!J44/'Bulk Calculator'!K44*100),"")</f>
        <v>0</v>
      </c>
      <c r="K482">
        <f>IFERROR(G482*B482*'Bulk Calculator'!J44/SQRT('Bulk Calculator'!S44)/1000,"")</f>
        <v>127.90308831298798</v>
      </c>
      <c r="L482">
        <f>IF(OR('Bulk Calculator'!R44="",'Bulk Calculator'!S44="",G482=""),0,IF(K482&gt;='Bulk Calculator'!R44,1,0))</f>
        <v>1</v>
      </c>
      <c r="M482">
        <f>IF(AND(H482=1,I482&lt;='OS-DORAEN'!$B$6,J482&lt;='OS-DORAEN'!$B$5,L482=1),1,0)</f>
        <v>1</v>
      </c>
      <c r="N482" t="str">
        <f t="shared" si="7"/>
        <v>R/X</v>
      </c>
    </row>
    <row r="483" spans="1:14" ht="15" customHeight="1" x14ac:dyDescent="0.35">
      <c r="A483">
        <v>44</v>
      </c>
      <c r="B483">
        <v>300</v>
      </c>
      <c r="C483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Master'!$F:$F,B483),"")</f>
        <v>455</v>
      </c>
      <c r="D483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Master'!$F:$F,B483),"")</f>
        <v>0.13</v>
      </c>
      <c r="E483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Master'!$F:$F,B483),"")</f>
        <v>0.13</v>
      </c>
      <c r="F483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Master'!$F:$F,B483),"")</f>
        <v>7.0999999999999994E-2</v>
      </c>
      <c r="G483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Master'!$F:$F,B483),"")</f>
        <v>143</v>
      </c>
      <c r="H483">
        <f>IF(AND(ISNUMBER(C483),C483&gt;='Bulk Calculator'!U44/('Bulk Calculator'!J44*'Bulk Calculator'!L44)),1,0)</f>
        <v>1</v>
      </c>
      <c r="I483">
        <f>IFERROR(IF(AND(ISNUMBER(E483),ISNUMBER(F483),E483&gt;0,F483&gt;0),SQRT(3)*'Bulk Calculator'!O44*'Bulk Calculator'!AA44*((E483*'Bulk Calculator'!Q44)+(F483*SQRT(1-'Bulk Calculator'!Q44^2)))/'Bulk Calculator'!J44/'Bulk Calculator'!K44*100,D483*'Bulk Calculator'!AA44*'Bulk Calculator'!O44/'Bulk Calculator'!J44/'Bulk Calculator'!K44*100),"")</f>
        <v>0</v>
      </c>
      <c r="J483">
        <f>IFERROR(IF(AND(ISNUMBER(E483),ISNUMBER(F483),E483&gt;0,F483&gt;0),SQRT(3)*'Bulk Calculator'!O44*'Bulk Calculator'!U44*((E483*'Bulk Calculator'!M44)+(F483*SQRT(1-'Bulk Calculator'!M44^2)))/'Bulk Calculator'!J44/'Bulk Calculator'!K44*100,D483*'Bulk Calculator'!U44*'Bulk Calculator'!O44/'Bulk Calculator'!J44/'Bulk Calculator'!K44*100),"")</f>
        <v>0</v>
      </c>
      <c r="K483">
        <f>IFERROR(G483*B483*'Bulk Calculator'!J44/SQRT('Bulk Calculator'!S44)/1000,"")</f>
        <v>95.927316234740985</v>
      </c>
      <c r="L483">
        <f>IF(OR('Bulk Calculator'!R44="",'Bulk Calculator'!S44="",G483=""),0,IF(K483&gt;='Bulk Calculator'!R44,1,0))</f>
        <v>1</v>
      </c>
      <c r="M483">
        <f>IF(AND(H483=1,I483&lt;='OS-DORAEN'!$B$6,J483&lt;='OS-DORAEN'!$B$5,L483=1),1,0)</f>
        <v>1</v>
      </c>
      <c r="N483" t="str">
        <f t="shared" si="7"/>
        <v>R/X</v>
      </c>
    </row>
    <row r="484" spans="1:14" ht="15" customHeight="1" x14ac:dyDescent="0.35">
      <c r="A484">
        <v>44</v>
      </c>
      <c r="B484">
        <v>240</v>
      </c>
      <c r="C484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Master'!$F:$F,B484),"")</f>
        <v>399</v>
      </c>
      <c r="D484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Master'!$F:$F,B484),"")</f>
        <v>0.16200000000000001</v>
      </c>
      <c r="E484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Master'!$F:$F,B484),"")</f>
        <v>0.16200000000000001</v>
      </c>
      <c r="F484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Master'!$F:$F,B484),"")</f>
        <v>7.1999999999999995E-2</v>
      </c>
      <c r="G484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Master'!$F:$F,B484),"")</f>
        <v>143</v>
      </c>
      <c r="H484">
        <f>IF(AND(ISNUMBER(C484),C484&gt;='Bulk Calculator'!U44/('Bulk Calculator'!J44*'Bulk Calculator'!L44)),1,0)</f>
        <v>1</v>
      </c>
      <c r="I484">
        <f>IFERROR(IF(AND(ISNUMBER(E484),ISNUMBER(F484),E484&gt;0,F484&gt;0),SQRT(3)*'Bulk Calculator'!O44*'Bulk Calculator'!AA44*((E484*'Bulk Calculator'!Q44)+(F484*SQRT(1-'Bulk Calculator'!Q44^2)))/'Bulk Calculator'!J44/'Bulk Calculator'!K44*100,D484*'Bulk Calculator'!AA44*'Bulk Calculator'!O44/'Bulk Calculator'!J44/'Bulk Calculator'!K44*100),"")</f>
        <v>0</v>
      </c>
      <c r="J484">
        <f>IFERROR(IF(AND(ISNUMBER(E484),ISNUMBER(F484),E484&gt;0,F484&gt;0),SQRT(3)*'Bulk Calculator'!O44*'Bulk Calculator'!U44*((E484*'Bulk Calculator'!M44)+(F484*SQRT(1-'Bulk Calculator'!M44^2)))/'Bulk Calculator'!J44/'Bulk Calculator'!K44*100,D484*'Bulk Calculator'!U44*'Bulk Calculator'!O44/'Bulk Calculator'!J44/'Bulk Calculator'!K44*100),"")</f>
        <v>0</v>
      </c>
      <c r="K484">
        <f>IFERROR(G484*B484*'Bulk Calculator'!J44/SQRT('Bulk Calculator'!S44)/1000,"")</f>
        <v>76.741852987792782</v>
      </c>
      <c r="L484">
        <f>IF(OR('Bulk Calculator'!R44="",'Bulk Calculator'!S44="",G484=""),0,IF(K484&gt;='Bulk Calculator'!R44,1,0))</f>
        <v>1</v>
      </c>
      <c r="M484">
        <f>IF(AND(H484=1,I484&lt;='OS-DORAEN'!$B$6,J484&lt;='OS-DORAEN'!$B$5,L484=1),1,0)</f>
        <v>1</v>
      </c>
      <c r="N484" t="str">
        <f t="shared" si="7"/>
        <v>R/X</v>
      </c>
    </row>
    <row r="485" spans="1:14" ht="15" customHeight="1" x14ac:dyDescent="0.35">
      <c r="A485">
        <v>44</v>
      </c>
      <c r="B485">
        <v>185</v>
      </c>
      <c r="C485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Master'!$F:$F,B485),"")</f>
        <v>337</v>
      </c>
      <c r="D485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Master'!$F:$F,B485),"")</f>
        <v>0.21099999999999999</v>
      </c>
      <c r="E485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Master'!$F:$F,B485),"")</f>
        <v>0.21099999999999999</v>
      </c>
      <c r="F485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Master'!$F:$F,B485),"")</f>
        <v>7.1999999999999995E-2</v>
      </c>
      <c r="G485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Master'!$F:$F,B485),"")</f>
        <v>143</v>
      </c>
      <c r="H485">
        <f>IF(AND(ISNUMBER(C485),C485&gt;='Bulk Calculator'!U44/('Bulk Calculator'!J44*'Bulk Calculator'!L44)),1,0)</f>
        <v>1</v>
      </c>
      <c r="I485">
        <f>IFERROR(IF(AND(ISNUMBER(E485),ISNUMBER(F485),E485&gt;0,F485&gt;0),SQRT(3)*'Bulk Calculator'!O44*'Bulk Calculator'!AA44*((E485*'Bulk Calculator'!Q44)+(F485*SQRT(1-'Bulk Calculator'!Q44^2)))/'Bulk Calculator'!J44/'Bulk Calculator'!K44*100,D485*'Bulk Calculator'!AA44*'Bulk Calculator'!O44/'Bulk Calculator'!J44/'Bulk Calculator'!K44*100),"")</f>
        <v>0</v>
      </c>
      <c r="J485">
        <f>IFERROR(IF(AND(ISNUMBER(E485),ISNUMBER(F485),E485&gt;0,F485&gt;0),SQRT(3)*'Bulk Calculator'!O44*'Bulk Calculator'!U44*((E485*'Bulk Calculator'!M44)+(F485*SQRT(1-'Bulk Calculator'!M44^2)))/'Bulk Calculator'!J44/'Bulk Calculator'!K44*100,D485*'Bulk Calculator'!U44*'Bulk Calculator'!O44/'Bulk Calculator'!J44/'Bulk Calculator'!K44*100),"")</f>
        <v>0</v>
      </c>
      <c r="K485">
        <f>IFERROR(G485*B485*'Bulk Calculator'!J44/SQRT('Bulk Calculator'!S44)/1000,"")</f>
        <v>59.155178344756941</v>
      </c>
      <c r="L485">
        <f>IF(OR('Bulk Calculator'!R44="",'Bulk Calculator'!S44="",G485=""),0,IF(K485&gt;='Bulk Calculator'!R44,1,0))</f>
        <v>1</v>
      </c>
      <c r="M485">
        <f>IF(AND(H485=1,I485&lt;='OS-DORAEN'!$B$6,J485&lt;='OS-DORAEN'!$B$5,L485=1),1,0)</f>
        <v>1</v>
      </c>
      <c r="N485" t="str">
        <f t="shared" si="7"/>
        <v>R/X</v>
      </c>
    </row>
    <row r="486" spans="1:14" ht="15" customHeight="1" x14ac:dyDescent="0.35">
      <c r="A486">
        <v>44</v>
      </c>
      <c r="B486">
        <v>150</v>
      </c>
      <c r="C486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Master'!$F:$F,B486),"")</f>
        <v>292</v>
      </c>
      <c r="D486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Master'!$F:$F,B486),"")</f>
        <v>0.26500000000000001</v>
      </c>
      <c r="E486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Master'!$F:$F,B486),"")</f>
        <v>0.26500000000000001</v>
      </c>
      <c r="F486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Master'!$F:$F,B486),"")</f>
        <v>7.1999999999999995E-2</v>
      </c>
      <c r="G486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Master'!$F:$F,B486),"")</f>
        <v>143</v>
      </c>
      <c r="H486">
        <f>IF(AND(ISNUMBER(C486),C486&gt;='Bulk Calculator'!U44/('Bulk Calculator'!J44*'Bulk Calculator'!L44)),1,0)</f>
        <v>1</v>
      </c>
      <c r="I486">
        <f>IFERROR(IF(AND(ISNUMBER(E486),ISNUMBER(F486),E486&gt;0,F486&gt;0),SQRT(3)*'Bulk Calculator'!O44*'Bulk Calculator'!AA44*((E486*'Bulk Calculator'!Q44)+(F486*SQRT(1-'Bulk Calculator'!Q44^2)))/'Bulk Calculator'!J44/'Bulk Calculator'!K44*100,D486*'Bulk Calculator'!AA44*'Bulk Calculator'!O44/'Bulk Calculator'!J44/'Bulk Calculator'!K44*100),"")</f>
        <v>0</v>
      </c>
      <c r="J486">
        <f>IFERROR(IF(AND(ISNUMBER(E486),ISNUMBER(F486),E486&gt;0,F486&gt;0),SQRT(3)*'Bulk Calculator'!O44*'Bulk Calculator'!U44*((E486*'Bulk Calculator'!M44)+(F486*SQRT(1-'Bulk Calculator'!M44^2)))/'Bulk Calculator'!J44/'Bulk Calculator'!K44*100,D486*'Bulk Calculator'!U44*'Bulk Calculator'!O44/'Bulk Calculator'!J44/'Bulk Calculator'!K44*100),"")</f>
        <v>0</v>
      </c>
      <c r="K486">
        <f>IFERROR(G486*B486*'Bulk Calculator'!J44/SQRT('Bulk Calculator'!S44)/1000,"")</f>
        <v>47.963658117370493</v>
      </c>
      <c r="L486">
        <f>IF(OR('Bulk Calculator'!R44="",'Bulk Calculator'!S44="",G486=""),0,IF(K486&gt;='Bulk Calculator'!R44,1,0))</f>
        <v>1</v>
      </c>
      <c r="M486">
        <f>IF(AND(H486=1,I486&lt;='OS-DORAEN'!$B$6,J486&lt;='OS-DORAEN'!$B$5,L486=1),1,0)</f>
        <v>1</v>
      </c>
      <c r="N486" t="str">
        <f t="shared" si="7"/>
        <v>R/X</v>
      </c>
    </row>
    <row r="487" spans="1:14" ht="15" customHeight="1" x14ac:dyDescent="0.35">
      <c r="A487">
        <v>44</v>
      </c>
      <c r="B487">
        <v>120</v>
      </c>
      <c r="C487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Master'!$F:$F,B487),"")</f>
        <v>257</v>
      </c>
      <c r="D487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Master'!$F:$F,B487),"")</f>
        <v>0.32500000000000001</v>
      </c>
      <c r="E487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Master'!$F:$F,B487),"")</f>
        <v>0.32500000000000001</v>
      </c>
      <c r="F487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Master'!$F:$F,B487),"")</f>
        <v>7.1999999999999995E-2</v>
      </c>
      <c r="G487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Master'!$F:$F,B487),"")</f>
        <v>143</v>
      </c>
      <c r="H487">
        <f>IF(AND(ISNUMBER(C487),C487&gt;='Bulk Calculator'!U44/('Bulk Calculator'!J44*'Bulk Calculator'!L44)),1,0)</f>
        <v>1</v>
      </c>
      <c r="I487">
        <f>IFERROR(IF(AND(ISNUMBER(E487),ISNUMBER(F487),E487&gt;0,F487&gt;0),SQRT(3)*'Bulk Calculator'!O44*'Bulk Calculator'!AA44*((E487*'Bulk Calculator'!Q44)+(F487*SQRT(1-'Bulk Calculator'!Q44^2)))/'Bulk Calculator'!J44/'Bulk Calculator'!K44*100,D487*'Bulk Calculator'!AA44*'Bulk Calculator'!O44/'Bulk Calculator'!J44/'Bulk Calculator'!K44*100),"")</f>
        <v>0</v>
      </c>
      <c r="J487">
        <f>IFERROR(IF(AND(ISNUMBER(E487),ISNUMBER(F487),E487&gt;0,F487&gt;0),SQRT(3)*'Bulk Calculator'!O44*'Bulk Calculator'!U44*((E487*'Bulk Calculator'!M44)+(F487*SQRT(1-'Bulk Calculator'!M44^2)))/'Bulk Calculator'!J44/'Bulk Calculator'!K44*100,D487*'Bulk Calculator'!U44*'Bulk Calculator'!O44/'Bulk Calculator'!J44/'Bulk Calculator'!K44*100),"")</f>
        <v>0</v>
      </c>
      <c r="K487">
        <f>IFERROR(G487*B487*'Bulk Calculator'!J44/SQRT('Bulk Calculator'!S44)/1000,"")</f>
        <v>38.370926493896391</v>
      </c>
      <c r="L487">
        <f>IF(OR('Bulk Calculator'!R44="",'Bulk Calculator'!S44="",G487=""),0,IF(K487&gt;='Bulk Calculator'!R44,1,0))</f>
        <v>1</v>
      </c>
      <c r="M487">
        <f>IF(AND(H487=1,I487&lt;='OS-DORAEN'!$B$6,J487&lt;='OS-DORAEN'!$B$5,L487=1),1,0)</f>
        <v>1</v>
      </c>
      <c r="N487" t="str">
        <f t="shared" si="7"/>
        <v>R/X</v>
      </c>
    </row>
    <row r="488" spans="1:14" ht="15" customHeight="1" x14ac:dyDescent="0.35">
      <c r="A488">
        <v>44</v>
      </c>
      <c r="B488">
        <v>95</v>
      </c>
      <c r="C488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Master'!$F:$F,B488),"")</f>
        <v>221</v>
      </c>
      <c r="D488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Master'!$F:$F,B488),"")</f>
        <v>0.41</v>
      </c>
      <c r="E488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Master'!$F:$F,B488),"")</f>
        <v>0.41</v>
      </c>
      <c r="F488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Master'!$F:$F,B488),"")</f>
        <v>7.3999999999999996E-2</v>
      </c>
      <c r="G488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Master'!$F:$F,B488),"")</f>
        <v>143</v>
      </c>
      <c r="H488">
        <f>IF(AND(ISNUMBER(C488),C488&gt;='Bulk Calculator'!U44/('Bulk Calculator'!J44*'Bulk Calculator'!L44)),1,0)</f>
        <v>1</v>
      </c>
      <c r="I488">
        <f>IFERROR(IF(AND(ISNUMBER(E488),ISNUMBER(F488),E488&gt;0,F488&gt;0),SQRT(3)*'Bulk Calculator'!O44*'Bulk Calculator'!AA44*((E488*'Bulk Calculator'!Q44)+(F488*SQRT(1-'Bulk Calculator'!Q44^2)))/'Bulk Calculator'!J44/'Bulk Calculator'!K44*100,D488*'Bulk Calculator'!AA44*'Bulk Calculator'!O44/'Bulk Calculator'!J44/'Bulk Calculator'!K44*100),"")</f>
        <v>0</v>
      </c>
      <c r="J488">
        <f>IFERROR(IF(AND(ISNUMBER(E488),ISNUMBER(F488),E488&gt;0,F488&gt;0),SQRT(3)*'Bulk Calculator'!O44*'Bulk Calculator'!U44*((E488*'Bulk Calculator'!M44)+(F488*SQRT(1-'Bulk Calculator'!M44^2)))/'Bulk Calculator'!J44/'Bulk Calculator'!K44*100,D488*'Bulk Calculator'!U44*'Bulk Calculator'!O44/'Bulk Calculator'!J44/'Bulk Calculator'!K44*100),"")</f>
        <v>0</v>
      </c>
      <c r="K488">
        <f>IFERROR(G488*B488*'Bulk Calculator'!J44/SQRT('Bulk Calculator'!S44)/1000,"")</f>
        <v>30.376983474334644</v>
      </c>
      <c r="L488">
        <f>IF(OR('Bulk Calculator'!R44="",'Bulk Calculator'!S44="",G488=""),0,IF(K488&gt;='Bulk Calculator'!R44,1,0))</f>
        <v>1</v>
      </c>
      <c r="M488">
        <f>IF(AND(H488=1,I488&lt;='OS-DORAEN'!$B$6,J488&lt;='OS-DORAEN'!$B$5,L488=1),1,0)</f>
        <v>1</v>
      </c>
      <c r="N488" t="str">
        <f t="shared" si="7"/>
        <v>R/X</v>
      </c>
    </row>
    <row r="489" spans="1:14" ht="15" customHeight="1" x14ac:dyDescent="0.35">
      <c r="A489">
        <v>44</v>
      </c>
      <c r="B489">
        <v>70</v>
      </c>
      <c r="C489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Master'!$F:$F,B489),"")</f>
        <v>179</v>
      </c>
      <c r="D489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Master'!$F:$F,B489),"")</f>
        <v>0.56699999999999995</v>
      </c>
      <c r="E489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Master'!$F:$F,B489),"")</f>
        <v>0.56699999999999995</v>
      </c>
      <c r="F489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Master'!$F:$F,B489),"")</f>
        <v>7.6999999999999999E-2</v>
      </c>
      <c r="G489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Master'!$F:$F,B489),"")</f>
        <v>143</v>
      </c>
      <c r="H489">
        <f>IF(AND(ISNUMBER(C489),C489&gt;='Bulk Calculator'!U44/('Bulk Calculator'!J44*'Bulk Calculator'!L44)),1,0)</f>
        <v>1</v>
      </c>
      <c r="I489">
        <f>IFERROR(IF(AND(ISNUMBER(E489),ISNUMBER(F489),E489&gt;0,F489&gt;0),SQRT(3)*'Bulk Calculator'!O44*'Bulk Calculator'!AA44*((E489*'Bulk Calculator'!Q44)+(F489*SQRT(1-'Bulk Calculator'!Q44^2)))/'Bulk Calculator'!J44/'Bulk Calculator'!K44*100,D489*'Bulk Calculator'!AA44*'Bulk Calculator'!O44/'Bulk Calculator'!J44/'Bulk Calculator'!K44*100),"")</f>
        <v>0</v>
      </c>
      <c r="J489">
        <f>IFERROR(IF(AND(ISNUMBER(E489),ISNUMBER(F489),E489&gt;0,F489&gt;0),SQRT(3)*'Bulk Calculator'!O44*'Bulk Calculator'!U44*((E489*'Bulk Calculator'!M44)+(F489*SQRT(1-'Bulk Calculator'!M44^2)))/'Bulk Calculator'!J44/'Bulk Calculator'!K44*100,D489*'Bulk Calculator'!U44*'Bulk Calculator'!O44/'Bulk Calculator'!J44/'Bulk Calculator'!K44*100),"")</f>
        <v>0</v>
      </c>
      <c r="K489">
        <f>IFERROR(G489*B489*'Bulk Calculator'!J44/SQRT('Bulk Calculator'!S44)/1000,"")</f>
        <v>22.383040454772893</v>
      </c>
      <c r="L489">
        <f>IF(OR('Bulk Calculator'!R44="",'Bulk Calculator'!S44="",G489=""),0,IF(K489&gt;='Bulk Calculator'!R44,1,0))</f>
        <v>1</v>
      </c>
      <c r="M489">
        <f>IF(AND(H489=1,I489&lt;='OS-DORAEN'!$B$6,J489&lt;='OS-DORAEN'!$B$5,L489=1),1,0)</f>
        <v>1</v>
      </c>
      <c r="N489" t="str">
        <f t="shared" si="7"/>
        <v>R/X</v>
      </c>
    </row>
    <row r="490" spans="1:14" ht="15" customHeight="1" x14ac:dyDescent="0.35">
      <c r="A490">
        <v>44</v>
      </c>
      <c r="B490">
        <v>50</v>
      </c>
      <c r="C490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Master'!$F:$F,B490),"")</f>
        <v>142</v>
      </c>
      <c r="D490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Master'!$F:$F,B490),"")</f>
        <v>0.82</v>
      </c>
      <c r="E490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Master'!$F:$F,B490),"")</f>
        <v>0.82</v>
      </c>
      <c r="F490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Master'!$F:$F,B490),"")</f>
        <v>7.8E-2</v>
      </c>
      <c r="G490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Master'!$F:$F,B490),"")</f>
        <v>143</v>
      </c>
      <c r="H490">
        <f>IF(AND(ISNUMBER(C490),C490&gt;='Bulk Calculator'!U44/('Bulk Calculator'!J44*'Bulk Calculator'!L44)),1,0)</f>
        <v>1</v>
      </c>
      <c r="I490">
        <f>IFERROR(IF(AND(ISNUMBER(E490),ISNUMBER(F490),E490&gt;0,F490&gt;0),SQRT(3)*'Bulk Calculator'!O44*'Bulk Calculator'!AA44*((E490*'Bulk Calculator'!Q44)+(F490*SQRT(1-'Bulk Calculator'!Q44^2)))/'Bulk Calculator'!J44/'Bulk Calculator'!K44*100,D490*'Bulk Calculator'!AA44*'Bulk Calculator'!O44/'Bulk Calculator'!J44/'Bulk Calculator'!K44*100),"")</f>
        <v>0</v>
      </c>
      <c r="J490">
        <f>IFERROR(IF(AND(ISNUMBER(E490),ISNUMBER(F490),E490&gt;0,F490&gt;0),SQRT(3)*'Bulk Calculator'!O44*'Bulk Calculator'!U44*((E490*'Bulk Calculator'!M44)+(F490*SQRT(1-'Bulk Calculator'!M44^2)))/'Bulk Calculator'!J44/'Bulk Calculator'!K44*100,D490*'Bulk Calculator'!U44*'Bulk Calculator'!O44/'Bulk Calculator'!J44/'Bulk Calculator'!K44*100),"")</f>
        <v>0</v>
      </c>
      <c r="K490">
        <f>IFERROR(G490*B490*'Bulk Calculator'!J44/SQRT('Bulk Calculator'!S44)/1000,"")</f>
        <v>15.987886039123497</v>
      </c>
      <c r="L490">
        <f>IF(OR('Bulk Calculator'!R44="",'Bulk Calculator'!S44="",G490=""),0,IF(K490&gt;='Bulk Calculator'!R44,1,0))</f>
        <v>1</v>
      </c>
      <c r="M490">
        <f>IF(AND(H490=1,I490&lt;='OS-DORAEN'!$B$6,J490&lt;='OS-DORAEN'!$B$5,L490=1),1,0)</f>
        <v>1</v>
      </c>
      <c r="N490" t="str">
        <f t="shared" si="7"/>
        <v>R/X</v>
      </c>
    </row>
    <row r="491" spans="1:14" ht="15" customHeight="1" x14ac:dyDescent="0.35">
      <c r="A491">
        <v>44</v>
      </c>
      <c r="B491">
        <v>35</v>
      </c>
      <c r="C491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Master'!$F:$F,B491),"")</f>
        <v>117</v>
      </c>
      <c r="D491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Master'!$F:$F,B491),"")</f>
        <v>1.1100000000000001</v>
      </c>
      <c r="E491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Master'!$F:$F,B491),"")</f>
        <v>1.1100000000000001</v>
      </c>
      <c r="F491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Master'!$F:$F,B491),"")</f>
        <v>0.08</v>
      </c>
      <c r="G491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Master'!$F:$F,B491),"")</f>
        <v>143</v>
      </c>
      <c r="H491">
        <f>IF(AND(ISNUMBER(C491),C491&gt;='Bulk Calculator'!U44/('Bulk Calculator'!J44*'Bulk Calculator'!L44)),1,0)</f>
        <v>1</v>
      </c>
      <c r="I491">
        <f>IFERROR(IF(AND(ISNUMBER(E491),ISNUMBER(F491),E491&gt;0,F491&gt;0),SQRT(3)*'Bulk Calculator'!O44*'Bulk Calculator'!AA44*((E491*'Bulk Calculator'!Q44)+(F491*SQRT(1-'Bulk Calculator'!Q44^2)))/'Bulk Calculator'!J44/'Bulk Calculator'!K44*100,D491*'Bulk Calculator'!AA44*'Bulk Calculator'!O44/'Bulk Calculator'!J44/'Bulk Calculator'!K44*100),"")</f>
        <v>0</v>
      </c>
      <c r="J491">
        <f>IFERROR(IF(AND(ISNUMBER(E491),ISNUMBER(F491),E491&gt;0,F491&gt;0),SQRT(3)*'Bulk Calculator'!O44*'Bulk Calculator'!U44*((E491*'Bulk Calculator'!M44)+(F491*SQRT(1-'Bulk Calculator'!M44^2)))/'Bulk Calculator'!J44/'Bulk Calculator'!K44*100,D491*'Bulk Calculator'!U44*'Bulk Calculator'!O44/'Bulk Calculator'!J44/'Bulk Calculator'!K44*100),"")</f>
        <v>0</v>
      </c>
      <c r="K491">
        <f>IFERROR(G491*B491*'Bulk Calculator'!J44/SQRT('Bulk Calculator'!S44)/1000,"")</f>
        <v>11.191520227386446</v>
      </c>
      <c r="L491">
        <f>IF(OR('Bulk Calculator'!R44="",'Bulk Calculator'!S44="",G491=""),0,IF(K491&gt;='Bulk Calculator'!R44,1,0))</f>
        <v>1</v>
      </c>
      <c r="M491">
        <f>IF(AND(H491=1,I491&lt;='OS-DORAEN'!$B$6,J491&lt;='OS-DORAEN'!$B$5,L491=1),1,0)</f>
        <v>1</v>
      </c>
      <c r="N491" t="str">
        <f t="shared" si="7"/>
        <v>R/X</v>
      </c>
    </row>
    <row r="492" spans="1:14" ht="15" customHeight="1" x14ac:dyDescent="0.35">
      <c r="A492">
        <v>44</v>
      </c>
      <c r="B492">
        <v>25</v>
      </c>
      <c r="C492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Master'!$F:$F,B492),"")</f>
        <v>96</v>
      </c>
      <c r="D492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Master'!$F:$F,B492),"")</f>
        <v>1.54</v>
      </c>
      <c r="E492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Master'!$F:$F,B492),"")</f>
        <v>1.54</v>
      </c>
      <c r="F492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Master'!$F:$F,B492),"")</f>
        <v>0.08</v>
      </c>
      <c r="G492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Master'!$F:$F,B492),"")</f>
        <v>143</v>
      </c>
      <c r="H492">
        <f>IF(AND(ISNUMBER(C492),C492&gt;='Bulk Calculator'!U44/('Bulk Calculator'!J44*'Bulk Calculator'!L44)),1,0)</f>
        <v>1</v>
      </c>
      <c r="I492">
        <f>IFERROR(IF(AND(ISNUMBER(E492),ISNUMBER(F492),E492&gt;0,F492&gt;0),SQRT(3)*'Bulk Calculator'!O44*'Bulk Calculator'!AA44*((E492*'Bulk Calculator'!Q44)+(F492*SQRT(1-'Bulk Calculator'!Q44^2)))/'Bulk Calculator'!J44/'Bulk Calculator'!K44*100,D492*'Bulk Calculator'!AA44*'Bulk Calculator'!O44/'Bulk Calculator'!J44/'Bulk Calculator'!K44*100),"")</f>
        <v>0</v>
      </c>
      <c r="J492">
        <f>IFERROR(IF(AND(ISNUMBER(E492),ISNUMBER(F492),E492&gt;0,F492&gt;0),SQRT(3)*'Bulk Calculator'!O44*'Bulk Calculator'!U44*((E492*'Bulk Calculator'!M44)+(F492*SQRT(1-'Bulk Calculator'!M44^2)))/'Bulk Calculator'!J44/'Bulk Calculator'!K44*100,D492*'Bulk Calculator'!U44*'Bulk Calculator'!O44/'Bulk Calculator'!J44/'Bulk Calculator'!K44*100),"")</f>
        <v>0</v>
      </c>
      <c r="K492">
        <f>IFERROR(G492*B492*'Bulk Calculator'!J44/SQRT('Bulk Calculator'!S44)/1000,"")</f>
        <v>7.9939430195617485</v>
      </c>
      <c r="L492">
        <f>IF(OR('Bulk Calculator'!R44="",'Bulk Calculator'!S44="",G492=""),0,IF(K492&gt;='Bulk Calculator'!R44,1,0))</f>
        <v>1</v>
      </c>
      <c r="M492">
        <f>IF(AND(H492=1,I492&lt;='OS-DORAEN'!$B$6,J492&lt;='OS-DORAEN'!$B$5,L492=1),1,0)</f>
        <v>1</v>
      </c>
      <c r="N492" t="str">
        <f t="shared" si="7"/>
        <v>R/X</v>
      </c>
    </row>
    <row r="493" spans="1:14" ht="15" customHeight="1" x14ac:dyDescent="0.35">
      <c r="A493">
        <v>44</v>
      </c>
      <c r="B493">
        <v>16</v>
      </c>
      <c r="C493">
        <f>IFERROR(SUMIFS('Cable Data Master'!$G:$G,'Cable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Master'!$F:$F,B493),"")</f>
        <v>0</v>
      </c>
      <c r="D493">
        <f>IFERROR(SUMIFS('Cable Data Master'!$K:$K,'Cable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Master'!$F:$F,B493),"")</f>
        <v>0</v>
      </c>
      <c r="E493">
        <f>IFERROR(SUMIFS('Cable Data Master'!$H:$H,'Cable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Master'!$F:$F,B493),"")</f>
        <v>0</v>
      </c>
      <c r="F493">
        <f>IFERROR(SUMIFS('Cable Data Master'!$I:$I,'Cable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Master'!$F:$F,B493),"")</f>
        <v>0</v>
      </c>
      <c r="G493">
        <f>IFERROR(SUMIFS('Cable Data Master'!$J:$J,'Cable Data Master'!$A:$A,'Bulk Calculator'!$BF44,'Cable Data Master'!$B:$B,'Bulk Calculator'!$BG44,'Cable Data Master'!$C:$C,'Bulk Calculator'!$BH44,'Cable Data Master'!$D:$D,'Bulk Calculator'!$BI44,'Cable Data Master'!$E:$E,'Bulk Calculator'!$BJ44,'Cable Data Master'!$F:$F,B493),"")</f>
        <v>0</v>
      </c>
      <c r="H493">
        <f>IF(AND(ISNUMBER(C493),C493&gt;='Bulk Calculator'!U44/('Bulk Calculator'!J44*'Bulk Calculator'!L44)),1,0)</f>
        <v>1</v>
      </c>
      <c r="I493">
        <f>IFERROR(IF(AND(ISNUMBER(E493),ISNUMBER(F493),E493&gt;0,F493&gt;0),SQRT(3)*'Bulk Calculator'!O44*'Bulk Calculator'!AA44*((E493*'Bulk Calculator'!Q44)+(F493*SQRT(1-'Bulk Calculator'!Q44^2)))/'Bulk Calculator'!J44/'Bulk Calculator'!K44*100,D493*'Bulk Calculator'!AA44*'Bulk Calculator'!O44/'Bulk Calculator'!J44/'Bulk Calculator'!K44*100),"")</f>
        <v>0</v>
      </c>
      <c r="J493">
        <f>IFERROR(IF(AND(ISNUMBER(E493),ISNUMBER(F493),E493&gt;0,F493&gt;0),SQRT(3)*'Bulk Calculator'!O44*'Bulk Calculator'!U44*((E493*'Bulk Calculator'!M44)+(F493*SQRT(1-'Bulk Calculator'!M44^2)))/'Bulk Calculator'!J44/'Bulk Calculator'!K44*100,D493*'Bulk Calculator'!U44*'Bulk Calculator'!O44/'Bulk Calculator'!J44/'Bulk Calculator'!K44*100),"")</f>
        <v>0</v>
      </c>
      <c r="K493">
        <f>IFERROR(G493*B493*'Bulk Calculator'!J44/SQRT('Bulk Calculator'!S44)/1000,"")</f>
        <v>0</v>
      </c>
      <c r="L493">
        <f>IF(OR('Bulk Calculator'!R44="",'Bulk Calculator'!S44="",G493=""),0,IF(K493&gt;='Bulk Calculator'!R44,1,0))</f>
        <v>1</v>
      </c>
      <c r="M493">
        <f>IF(AND(H493=1,I493&lt;='OS-DORAEN'!$B$6,J493&lt;='OS-DORAEN'!$B$5,L493=1),1,0)</f>
        <v>1</v>
      </c>
      <c r="N493" t="str">
        <f t="shared" si="7"/>
        <v>Manufacturer VD Ref</v>
      </c>
    </row>
    <row r="494" spans="1:14" ht="15" customHeight="1" x14ac:dyDescent="0.35">
      <c r="A494">
        <v>45</v>
      </c>
      <c r="B494">
        <v>400</v>
      </c>
      <c r="C494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Master'!$F:$F,B494),"")</f>
        <v>530</v>
      </c>
      <c r="D494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Master'!$F:$F,B494),"")</f>
        <v>0.1023</v>
      </c>
      <c r="E494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Master'!$F:$F,B494),"")</f>
        <v>0.1023</v>
      </c>
      <c r="F494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Master'!$F:$F,B494),"")</f>
        <v>7.0000000000000007E-2</v>
      </c>
      <c r="G494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Master'!$F:$F,B494),"")</f>
        <v>143</v>
      </c>
      <c r="H494">
        <f>IF(AND(ISNUMBER(C494),C494&gt;='Bulk Calculator'!U45/('Bulk Calculator'!J45*'Bulk Calculator'!L45)),1,0)</f>
        <v>1</v>
      </c>
      <c r="I494">
        <f>IFERROR(IF(AND(ISNUMBER(E494),ISNUMBER(F494),E494&gt;0,F494&gt;0),SQRT(3)*'Bulk Calculator'!O45*'Bulk Calculator'!AA45*((E494*'Bulk Calculator'!Q45)+(F494*SQRT(1-'Bulk Calculator'!Q45^2)))/'Bulk Calculator'!J45/'Bulk Calculator'!K45*100,D494*'Bulk Calculator'!AA45*'Bulk Calculator'!O45/'Bulk Calculator'!J45/'Bulk Calculator'!K45*100),"")</f>
        <v>0</v>
      </c>
      <c r="J494">
        <f>IFERROR(IF(AND(ISNUMBER(E494),ISNUMBER(F494),E494&gt;0,F494&gt;0),SQRT(3)*'Bulk Calculator'!O45*'Bulk Calculator'!U45*((E494*'Bulk Calculator'!M45)+(F494*SQRT(1-'Bulk Calculator'!M45^2)))/'Bulk Calculator'!J45/'Bulk Calculator'!K45*100,D494*'Bulk Calculator'!U45*'Bulk Calculator'!O45/'Bulk Calculator'!J45/'Bulk Calculator'!K45*100),"")</f>
        <v>0</v>
      </c>
      <c r="K494">
        <f>IFERROR(G494*B494*'Bulk Calculator'!J45/SQRT('Bulk Calculator'!S45)/1000,"")</f>
        <v>127.90308831298798</v>
      </c>
      <c r="L494">
        <f>IF(OR('Bulk Calculator'!R45="",'Bulk Calculator'!S45="",G494=""),0,IF(K494&gt;='Bulk Calculator'!R45,1,0))</f>
        <v>1</v>
      </c>
      <c r="M494">
        <f>IF(AND(H494=1,I494&lt;='OS-DORAEN'!$B$6,J494&lt;='OS-DORAEN'!$B$5,L494=1),1,0)</f>
        <v>1</v>
      </c>
      <c r="N494" t="str">
        <f t="shared" si="7"/>
        <v>R/X</v>
      </c>
    </row>
    <row r="495" spans="1:14" ht="15" customHeight="1" x14ac:dyDescent="0.35">
      <c r="A495">
        <v>45</v>
      </c>
      <c r="B495">
        <v>300</v>
      </c>
      <c r="C495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Master'!$F:$F,B495),"")</f>
        <v>455</v>
      </c>
      <c r="D495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Master'!$F:$F,B495),"")</f>
        <v>0.13</v>
      </c>
      <c r="E495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Master'!$F:$F,B495),"")</f>
        <v>0.13</v>
      </c>
      <c r="F495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Master'!$F:$F,B495),"")</f>
        <v>7.0999999999999994E-2</v>
      </c>
      <c r="G495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Master'!$F:$F,B495),"")</f>
        <v>143</v>
      </c>
      <c r="H495">
        <f>IF(AND(ISNUMBER(C495),C495&gt;='Bulk Calculator'!U45/('Bulk Calculator'!J45*'Bulk Calculator'!L45)),1,0)</f>
        <v>1</v>
      </c>
      <c r="I495">
        <f>IFERROR(IF(AND(ISNUMBER(E495),ISNUMBER(F495),E495&gt;0,F495&gt;0),SQRT(3)*'Bulk Calculator'!O45*'Bulk Calculator'!AA45*((E495*'Bulk Calculator'!Q45)+(F495*SQRT(1-'Bulk Calculator'!Q45^2)))/'Bulk Calculator'!J45/'Bulk Calculator'!K45*100,D495*'Bulk Calculator'!AA45*'Bulk Calculator'!O45/'Bulk Calculator'!J45/'Bulk Calculator'!K45*100),"")</f>
        <v>0</v>
      </c>
      <c r="J495">
        <f>IFERROR(IF(AND(ISNUMBER(E495),ISNUMBER(F495),E495&gt;0,F495&gt;0),SQRT(3)*'Bulk Calculator'!O45*'Bulk Calculator'!U45*((E495*'Bulk Calculator'!M45)+(F495*SQRT(1-'Bulk Calculator'!M45^2)))/'Bulk Calculator'!J45/'Bulk Calculator'!K45*100,D495*'Bulk Calculator'!U45*'Bulk Calculator'!O45/'Bulk Calculator'!J45/'Bulk Calculator'!K45*100),"")</f>
        <v>0</v>
      </c>
      <c r="K495">
        <f>IFERROR(G495*B495*'Bulk Calculator'!J45/SQRT('Bulk Calculator'!S45)/1000,"")</f>
        <v>95.927316234740985</v>
      </c>
      <c r="L495">
        <f>IF(OR('Bulk Calculator'!R45="",'Bulk Calculator'!S45="",G495=""),0,IF(K495&gt;='Bulk Calculator'!R45,1,0))</f>
        <v>1</v>
      </c>
      <c r="M495">
        <f>IF(AND(H495=1,I495&lt;='OS-DORAEN'!$B$6,J495&lt;='OS-DORAEN'!$B$5,L495=1),1,0)</f>
        <v>1</v>
      </c>
      <c r="N495" t="str">
        <f t="shared" si="7"/>
        <v>R/X</v>
      </c>
    </row>
    <row r="496" spans="1:14" ht="15" customHeight="1" x14ac:dyDescent="0.35">
      <c r="A496">
        <v>45</v>
      </c>
      <c r="B496">
        <v>240</v>
      </c>
      <c r="C496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Master'!$F:$F,B496),"")</f>
        <v>399</v>
      </c>
      <c r="D496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Master'!$F:$F,B496),"")</f>
        <v>0.16200000000000001</v>
      </c>
      <c r="E496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Master'!$F:$F,B496),"")</f>
        <v>0.16200000000000001</v>
      </c>
      <c r="F496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Master'!$F:$F,B496),"")</f>
        <v>7.1999999999999995E-2</v>
      </c>
      <c r="G496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Master'!$F:$F,B496),"")</f>
        <v>143</v>
      </c>
      <c r="H496">
        <f>IF(AND(ISNUMBER(C496),C496&gt;='Bulk Calculator'!U45/('Bulk Calculator'!J45*'Bulk Calculator'!L45)),1,0)</f>
        <v>1</v>
      </c>
      <c r="I496">
        <f>IFERROR(IF(AND(ISNUMBER(E496),ISNUMBER(F496),E496&gt;0,F496&gt;0),SQRT(3)*'Bulk Calculator'!O45*'Bulk Calculator'!AA45*((E496*'Bulk Calculator'!Q45)+(F496*SQRT(1-'Bulk Calculator'!Q45^2)))/'Bulk Calculator'!J45/'Bulk Calculator'!K45*100,D496*'Bulk Calculator'!AA45*'Bulk Calculator'!O45/'Bulk Calculator'!J45/'Bulk Calculator'!K45*100),"")</f>
        <v>0</v>
      </c>
      <c r="J496">
        <f>IFERROR(IF(AND(ISNUMBER(E496),ISNUMBER(F496),E496&gt;0,F496&gt;0),SQRT(3)*'Bulk Calculator'!O45*'Bulk Calculator'!U45*((E496*'Bulk Calculator'!M45)+(F496*SQRT(1-'Bulk Calculator'!M45^2)))/'Bulk Calculator'!J45/'Bulk Calculator'!K45*100,D496*'Bulk Calculator'!U45*'Bulk Calculator'!O45/'Bulk Calculator'!J45/'Bulk Calculator'!K45*100),"")</f>
        <v>0</v>
      </c>
      <c r="K496">
        <f>IFERROR(G496*B496*'Bulk Calculator'!J45/SQRT('Bulk Calculator'!S45)/1000,"")</f>
        <v>76.741852987792782</v>
      </c>
      <c r="L496">
        <f>IF(OR('Bulk Calculator'!R45="",'Bulk Calculator'!S45="",G496=""),0,IF(K496&gt;='Bulk Calculator'!R45,1,0))</f>
        <v>1</v>
      </c>
      <c r="M496">
        <f>IF(AND(H496=1,I496&lt;='OS-DORAEN'!$B$6,J496&lt;='OS-DORAEN'!$B$5,L496=1),1,0)</f>
        <v>1</v>
      </c>
      <c r="N496" t="str">
        <f t="shared" si="7"/>
        <v>R/X</v>
      </c>
    </row>
    <row r="497" spans="1:14" ht="15" customHeight="1" x14ac:dyDescent="0.35">
      <c r="A497">
        <v>45</v>
      </c>
      <c r="B497">
        <v>185</v>
      </c>
      <c r="C497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Master'!$F:$F,B497),"")</f>
        <v>337</v>
      </c>
      <c r="D497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Master'!$F:$F,B497),"")</f>
        <v>0.21099999999999999</v>
      </c>
      <c r="E497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Master'!$F:$F,B497),"")</f>
        <v>0.21099999999999999</v>
      </c>
      <c r="F497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Master'!$F:$F,B497),"")</f>
        <v>7.1999999999999995E-2</v>
      </c>
      <c r="G497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Master'!$F:$F,B497),"")</f>
        <v>143</v>
      </c>
      <c r="H497">
        <f>IF(AND(ISNUMBER(C497),C497&gt;='Bulk Calculator'!U45/('Bulk Calculator'!J45*'Bulk Calculator'!L45)),1,0)</f>
        <v>1</v>
      </c>
      <c r="I497">
        <f>IFERROR(IF(AND(ISNUMBER(E497),ISNUMBER(F497),E497&gt;0,F497&gt;0),SQRT(3)*'Bulk Calculator'!O45*'Bulk Calculator'!AA45*((E497*'Bulk Calculator'!Q45)+(F497*SQRT(1-'Bulk Calculator'!Q45^2)))/'Bulk Calculator'!J45/'Bulk Calculator'!K45*100,D497*'Bulk Calculator'!AA45*'Bulk Calculator'!O45/'Bulk Calculator'!J45/'Bulk Calculator'!K45*100),"")</f>
        <v>0</v>
      </c>
      <c r="J497">
        <f>IFERROR(IF(AND(ISNUMBER(E497),ISNUMBER(F497),E497&gt;0,F497&gt;0),SQRT(3)*'Bulk Calculator'!O45*'Bulk Calculator'!U45*((E497*'Bulk Calculator'!M45)+(F497*SQRT(1-'Bulk Calculator'!M45^2)))/'Bulk Calculator'!J45/'Bulk Calculator'!K45*100,D497*'Bulk Calculator'!U45*'Bulk Calculator'!O45/'Bulk Calculator'!J45/'Bulk Calculator'!K45*100),"")</f>
        <v>0</v>
      </c>
      <c r="K497">
        <f>IFERROR(G497*B497*'Bulk Calculator'!J45/SQRT('Bulk Calculator'!S45)/1000,"")</f>
        <v>59.155178344756941</v>
      </c>
      <c r="L497">
        <f>IF(OR('Bulk Calculator'!R45="",'Bulk Calculator'!S45="",G497=""),0,IF(K497&gt;='Bulk Calculator'!R45,1,0))</f>
        <v>1</v>
      </c>
      <c r="M497">
        <f>IF(AND(H497=1,I497&lt;='OS-DORAEN'!$B$6,J497&lt;='OS-DORAEN'!$B$5,L497=1),1,0)</f>
        <v>1</v>
      </c>
      <c r="N497" t="str">
        <f t="shared" si="7"/>
        <v>R/X</v>
      </c>
    </row>
    <row r="498" spans="1:14" ht="15" customHeight="1" x14ac:dyDescent="0.35">
      <c r="A498">
        <v>45</v>
      </c>
      <c r="B498">
        <v>150</v>
      </c>
      <c r="C498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Master'!$F:$F,B498),"")</f>
        <v>292</v>
      </c>
      <c r="D498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Master'!$F:$F,B498),"")</f>
        <v>0.26500000000000001</v>
      </c>
      <c r="E498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Master'!$F:$F,B498),"")</f>
        <v>0.26500000000000001</v>
      </c>
      <c r="F498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Master'!$F:$F,B498),"")</f>
        <v>7.1999999999999995E-2</v>
      </c>
      <c r="G498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Master'!$F:$F,B498),"")</f>
        <v>143</v>
      </c>
      <c r="H498">
        <f>IF(AND(ISNUMBER(C498),C498&gt;='Bulk Calculator'!U45/('Bulk Calculator'!J45*'Bulk Calculator'!L45)),1,0)</f>
        <v>1</v>
      </c>
      <c r="I498">
        <f>IFERROR(IF(AND(ISNUMBER(E498),ISNUMBER(F498),E498&gt;0,F498&gt;0),SQRT(3)*'Bulk Calculator'!O45*'Bulk Calculator'!AA45*((E498*'Bulk Calculator'!Q45)+(F498*SQRT(1-'Bulk Calculator'!Q45^2)))/'Bulk Calculator'!J45/'Bulk Calculator'!K45*100,D498*'Bulk Calculator'!AA45*'Bulk Calculator'!O45/'Bulk Calculator'!J45/'Bulk Calculator'!K45*100),"")</f>
        <v>0</v>
      </c>
      <c r="J498">
        <f>IFERROR(IF(AND(ISNUMBER(E498),ISNUMBER(F498),E498&gt;0,F498&gt;0),SQRT(3)*'Bulk Calculator'!O45*'Bulk Calculator'!U45*((E498*'Bulk Calculator'!M45)+(F498*SQRT(1-'Bulk Calculator'!M45^2)))/'Bulk Calculator'!J45/'Bulk Calculator'!K45*100,D498*'Bulk Calculator'!U45*'Bulk Calculator'!O45/'Bulk Calculator'!J45/'Bulk Calculator'!K45*100),"")</f>
        <v>0</v>
      </c>
      <c r="K498">
        <f>IFERROR(G498*B498*'Bulk Calculator'!J45/SQRT('Bulk Calculator'!S45)/1000,"")</f>
        <v>47.963658117370493</v>
      </c>
      <c r="L498">
        <f>IF(OR('Bulk Calculator'!R45="",'Bulk Calculator'!S45="",G498=""),0,IF(K498&gt;='Bulk Calculator'!R45,1,0))</f>
        <v>1</v>
      </c>
      <c r="M498">
        <f>IF(AND(H498=1,I498&lt;='OS-DORAEN'!$B$6,J498&lt;='OS-DORAEN'!$B$5,L498=1),1,0)</f>
        <v>1</v>
      </c>
      <c r="N498" t="str">
        <f t="shared" si="7"/>
        <v>R/X</v>
      </c>
    </row>
    <row r="499" spans="1:14" ht="15" customHeight="1" x14ac:dyDescent="0.35">
      <c r="A499">
        <v>45</v>
      </c>
      <c r="B499">
        <v>120</v>
      </c>
      <c r="C499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Master'!$F:$F,B499),"")</f>
        <v>257</v>
      </c>
      <c r="D499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Master'!$F:$F,B499),"")</f>
        <v>0.32500000000000001</v>
      </c>
      <c r="E499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Master'!$F:$F,B499),"")</f>
        <v>0.32500000000000001</v>
      </c>
      <c r="F499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Master'!$F:$F,B499),"")</f>
        <v>7.1999999999999995E-2</v>
      </c>
      <c r="G499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Master'!$F:$F,B499),"")</f>
        <v>143</v>
      </c>
      <c r="H499">
        <f>IF(AND(ISNUMBER(C499),C499&gt;='Bulk Calculator'!U45/('Bulk Calculator'!J45*'Bulk Calculator'!L45)),1,0)</f>
        <v>1</v>
      </c>
      <c r="I499">
        <f>IFERROR(IF(AND(ISNUMBER(E499),ISNUMBER(F499),E499&gt;0,F499&gt;0),SQRT(3)*'Bulk Calculator'!O45*'Bulk Calculator'!AA45*((E499*'Bulk Calculator'!Q45)+(F499*SQRT(1-'Bulk Calculator'!Q45^2)))/'Bulk Calculator'!J45/'Bulk Calculator'!K45*100,D499*'Bulk Calculator'!AA45*'Bulk Calculator'!O45/'Bulk Calculator'!J45/'Bulk Calculator'!K45*100),"")</f>
        <v>0</v>
      </c>
      <c r="J499">
        <f>IFERROR(IF(AND(ISNUMBER(E499),ISNUMBER(F499),E499&gt;0,F499&gt;0),SQRT(3)*'Bulk Calculator'!O45*'Bulk Calculator'!U45*((E499*'Bulk Calculator'!M45)+(F499*SQRT(1-'Bulk Calculator'!M45^2)))/'Bulk Calculator'!J45/'Bulk Calculator'!K45*100,D499*'Bulk Calculator'!U45*'Bulk Calculator'!O45/'Bulk Calculator'!J45/'Bulk Calculator'!K45*100),"")</f>
        <v>0</v>
      </c>
      <c r="K499">
        <f>IFERROR(G499*B499*'Bulk Calculator'!J45/SQRT('Bulk Calculator'!S45)/1000,"")</f>
        <v>38.370926493896391</v>
      </c>
      <c r="L499">
        <f>IF(OR('Bulk Calculator'!R45="",'Bulk Calculator'!S45="",G499=""),0,IF(K499&gt;='Bulk Calculator'!R45,1,0))</f>
        <v>1</v>
      </c>
      <c r="M499">
        <f>IF(AND(H499=1,I499&lt;='OS-DORAEN'!$B$6,J499&lt;='OS-DORAEN'!$B$5,L499=1),1,0)</f>
        <v>1</v>
      </c>
      <c r="N499" t="str">
        <f t="shared" si="7"/>
        <v>R/X</v>
      </c>
    </row>
    <row r="500" spans="1:14" ht="15" customHeight="1" x14ac:dyDescent="0.35">
      <c r="A500">
        <v>45</v>
      </c>
      <c r="B500">
        <v>95</v>
      </c>
      <c r="C500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Master'!$F:$F,B500),"")</f>
        <v>221</v>
      </c>
      <c r="D500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Master'!$F:$F,B500),"")</f>
        <v>0.41</v>
      </c>
      <c r="E500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Master'!$F:$F,B500),"")</f>
        <v>0.41</v>
      </c>
      <c r="F500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Master'!$F:$F,B500),"")</f>
        <v>7.3999999999999996E-2</v>
      </c>
      <c r="G500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Master'!$F:$F,B500),"")</f>
        <v>143</v>
      </c>
      <c r="H500">
        <f>IF(AND(ISNUMBER(C500),C500&gt;='Bulk Calculator'!U45/('Bulk Calculator'!J45*'Bulk Calculator'!L45)),1,0)</f>
        <v>1</v>
      </c>
      <c r="I500">
        <f>IFERROR(IF(AND(ISNUMBER(E500),ISNUMBER(F500),E500&gt;0,F500&gt;0),SQRT(3)*'Bulk Calculator'!O45*'Bulk Calculator'!AA45*((E500*'Bulk Calculator'!Q45)+(F500*SQRT(1-'Bulk Calculator'!Q45^2)))/'Bulk Calculator'!J45/'Bulk Calculator'!K45*100,D500*'Bulk Calculator'!AA45*'Bulk Calculator'!O45/'Bulk Calculator'!J45/'Bulk Calculator'!K45*100),"")</f>
        <v>0</v>
      </c>
      <c r="J500">
        <f>IFERROR(IF(AND(ISNUMBER(E500),ISNUMBER(F500),E500&gt;0,F500&gt;0),SQRT(3)*'Bulk Calculator'!O45*'Bulk Calculator'!U45*((E500*'Bulk Calculator'!M45)+(F500*SQRT(1-'Bulk Calculator'!M45^2)))/'Bulk Calculator'!J45/'Bulk Calculator'!K45*100,D500*'Bulk Calculator'!U45*'Bulk Calculator'!O45/'Bulk Calculator'!J45/'Bulk Calculator'!K45*100),"")</f>
        <v>0</v>
      </c>
      <c r="K500">
        <f>IFERROR(G500*B500*'Bulk Calculator'!J45/SQRT('Bulk Calculator'!S45)/1000,"")</f>
        <v>30.376983474334644</v>
      </c>
      <c r="L500">
        <f>IF(OR('Bulk Calculator'!R45="",'Bulk Calculator'!S45="",G500=""),0,IF(K500&gt;='Bulk Calculator'!R45,1,0))</f>
        <v>1</v>
      </c>
      <c r="M500">
        <f>IF(AND(H500=1,I500&lt;='OS-DORAEN'!$B$6,J500&lt;='OS-DORAEN'!$B$5,L500=1),1,0)</f>
        <v>1</v>
      </c>
      <c r="N500" t="str">
        <f t="shared" si="7"/>
        <v>R/X</v>
      </c>
    </row>
    <row r="501" spans="1:14" ht="15" customHeight="1" x14ac:dyDescent="0.35">
      <c r="A501">
        <v>45</v>
      </c>
      <c r="B501">
        <v>70</v>
      </c>
      <c r="C501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Master'!$F:$F,B501),"")</f>
        <v>179</v>
      </c>
      <c r="D501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Master'!$F:$F,B501),"")</f>
        <v>0.56699999999999995</v>
      </c>
      <c r="E501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Master'!$F:$F,B501),"")</f>
        <v>0.56699999999999995</v>
      </c>
      <c r="F501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Master'!$F:$F,B501),"")</f>
        <v>7.6999999999999999E-2</v>
      </c>
      <c r="G501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Master'!$F:$F,B501),"")</f>
        <v>143</v>
      </c>
      <c r="H501">
        <f>IF(AND(ISNUMBER(C501),C501&gt;='Bulk Calculator'!U45/('Bulk Calculator'!J45*'Bulk Calculator'!L45)),1,0)</f>
        <v>1</v>
      </c>
      <c r="I501">
        <f>IFERROR(IF(AND(ISNUMBER(E501),ISNUMBER(F501),E501&gt;0,F501&gt;0),SQRT(3)*'Bulk Calculator'!O45*'Bulk Calculator'!AA45*((E501*'Bulk Calculator'!Q45)+(F501*SQRT(1-'Bulk Calculator'!Q45^2)))/'Bulk Calculator'!J45/'Bulk Calculator'!K45*100,D501*'Bulk Calculator'!AA45*'Bulk Calculator'!O45/'Bulk Calculator'!J45/'Bulk Calculator'!K45*100),"")</f>
        <v>0</v>
      </c>
      <c r="J501">
        <f>IFERROR(IF(AND(ISNUMBER(E501),ISNUMBER(F501),E501&gt;0,F501&gt;0),SQRT(3)*'Bulk Calculator'!O45*'Bulk Calculator'!U45*((E501*'Bulk Calculator'!M45)+(F501*SQRT(1-'Bulk Calculator'!M45^2)))/'Bulk Calculator'!J45/'Bulk Calculator'!K45*100,D501*'Bulk Calculator'!U45*'Bulk Calculator'!O45/'Bulk Calculator'!J45/'Bulk Calculator'!K45*100),"")</f>
        <v>0</v>
      </c>
      <c r="K501">
        <f>IFERROR(G501*B501*'Bulk Calculator'!J45/SQRT('Bulk Calculator'!S45)/1000,"")</f>
        <v>22.383040454772893</v>
      </c>
      <c r="L501">
        <f>IF(OR('Bulk Calculator'!R45="",'Bulk Calculator'!S45="",G501=""),0,IF(K501&gt;='Bulk Calculator'!R45,1,0))</f>
        <v>1</v>
      </c>
      <c r="M501">
        <f>IF(AND(H501=1,I501&lt;='OS-DORAEN'!$B$6,J501&lt;='OS-DORAEN'!$B$5,L501=1),1,0)</f>
        <v>1</v>
      </c>
      <c r="N501" t="str">
        <f t="shared" si="7"/>
        <v>R/X</v>
      </c>
    </row>
    <row r="502" spans="1:14" ht="15" customHeight="1" x14ac:dyDescent="0.35">
      <c r="A502">
        <v>45</v>
      </c>
      <c r="B502">
        <v>50</v>
      </c>
      <c r="C502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Master'!$F:$F,B502),"")</f>
        <v>142</v>
      </c>
      <c r="D502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Master'!$F:$F,B502),"")</f>
        <v>0.82</v>
      </c>
      <c r="E502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Master'!$F:$F,B502),"")</f>
        <v>0.82</v>
      </c>
      <c r="F502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Master'!$F:$F,B502),"")</f>
        <v>7.8E-2</v>
      </c>
      <c r="G502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Master'!$F:$F,B502),"")</f>
        <v>143</v>
      </c>
      <c r="H502">
        <f>IF(AND(ISNUMBER(C502),C502&gt;='Bulk Calculator'!U45/('Bulk Calculator'!J45*'Bulk Calculator'!L45)),1,0)</f>
        <v>1</v>
      </c>
      <c r="I502">
        <f>IFERROR(IF(AND(ISNUMBER(E502),ISNUMBER(F502),E502&gt;0,F502&gt;0),SQRT(3)*'Bulk Calculator'!O45*'Bulk Calculator'!AA45*((E502*'Bulk Calculator'!Q45)+(F502*SQRT(1-'Bulk Calculator'!Q45^2)))/'Bulk Calculator'!J45/'Bulk Calculator'!K45*100,D502*'Bulk Calculator'!AA45*'Bulk Calculator'!O45/'Bulk Calculator'!J45/'Bulk Calculator'!K45*100),"")</f>
        <v>0</v>
      </c>
      <c r="J502">
        <f>IFERROR(IF(AND(ISNUMBER(E502),ISNUMBER(F502),E502&gt;0,F502&gt;0),SQRT(3)*'Bulk Calculator'!O45*'Bulk Calculator'!U45*((E502*'Bulk Calculator'!M45)+(F502*SQRT(1-'Bulk Calculator'!M45^2)))/'Bulk Calculator'!J45/'Bulk Calculator'!K45*100,D502*'Bulk Calculator'!U45*'Bulk Calculator'!O45/'Bulk Calculator'!J45/'Bulk Calculator'!K45*100),"")</f>
        <v>0</v>
      </c>
      <c r="K502">
        <f>IFERROR(G502*B502*'Bulk Calculator'!J45/SQRT('Bulk Calculator'!S45)/1000,"")</f>
        <v>15.987886039123497</v>
      </c>
      <c r="L502">
        <f>IF(OR('Bulk Calculator'!R45="",'Bulk Calculator'!S45="",G502=""),0,IF(K502&gt;='Bulk Calculator'!R45,1,0))</f>
        <v>1</v>
      </c>
      <c r="M502">
        <f>IF(AND(H502=1,I502&lt;='OS-DORAEN'!$B$6,J502&lt;='OS-DORAEN'!$B$5,L502=1),1,0)</f>
        <v>1</v>
      </c>
      <c r="N502" t="str">
        <f t="shared" si="7"/>
        <v>R/X</v>
      </c>
    </row>
    <row r="503" spans="1:14" ht="15" customHeight="1" x14ac:dyDescent="0.35">
      <c r="A503">
        <v>45</v>
      </c>
      <c r="B503">
        <v>35</v>
      </c>
      <c r="C503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Master'!$F:$F,B503),"")</f>
        <v>117</v>
      </c>
      <c r="D503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Master'!$F:$F,B503),"")</f>
        <v>1.1100000000000001</v>
      </c>
      <c r="E503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Master'!$F:$F,B503),"")</f>
        <v>1.1100000000000001</v>
      </c>
      <c r="F503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Master'!$F:$F,B503),"")</f>
        <v>0.08</v>
      </c>
      <c r="G503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Master'!$F:$F,B503),"")</f>
        <v>143</v>
      </c>
      <c r="H503">
        <f>IF(AND(ISNUMBER(C503),C503&gt;='Bulk Calculator'!U45/('Bulk Calculator'!J45*'Bulk Calculator'!L45)),1,0)</f>
        <v>1</v>
      </c>
      <c r="I503">
        <f>IFERROR(IF(AND(ISNUMBER(E503),ISNUMBER(F503),E503&gt;0,F503&gt;0),SQRT(3)*'Bulk Calculator'!O45*'Bulk Calculator'!AA45*((E503*'Bulk Calculator'!Q45)+(F503*SQRT(1-'Bulk Calculator'!Q45^2)))/'Bulk Calculator'!J45/'Bulk Calculator'!K45*100,D503*'Bulk Calculator'!AA45*'Bulk Calculator'!O45/'Bulk Calculator'!J45/'Bulk Calculator'!K45*100),"")</f>
        <v>0</v>
      </c>
      <c r="J503">
        <f>IFERROR(IF(AND(ISNUMBER(E503),ISNUMBER(F503),E503&gt;0,F503&gt;0),SQRT(3)*'Bulk Calculator'!O45*'Bulk Calculator'!U45*((E503*'Bulk Calculator'!M45)+(F503*SQRT(1-'Bulk Calculator'!M45^2)))/'Bulk Calculator'!J45/'Bulk Calculator'!K45*100,D503*'Bulk Calculator'!U45*'Bulk Calculator'!O45/'Bulk Calculator'!J45/'Bulk Calculator'!K45*100),"")</f>
        <v>0</v>
      </c>
      <c r="K503">
        <f>IFERROR(G503*B503*'Bulk Calculator'!J45/SQRT('Bulk Calculator'!S45)/1000,"")</f>
        <v>11.191520227386446</v>
      </c>
      <c r="L503">
        <f>IF(OR('Bulk Calculator'!R45="",'Bulk Calculator'!S45="",G503=""),0,IF(K503&gt;='Bulk Calculator'!R45,1,0))</f>
        <v>1</v>
      </c>
      <c r="M503">
        <f>IF(AND(H503=1,I503&lt;='OS-DORAEN'!$B$6,J503&lt;='OS-DORAEN'!$B$5,L503=1),1,0)</f>
        <v>1</v>
      </c>
      <c r="N503" t="str">
        <f t="shared" si="7"/>
        <v>R/X</v>
      </c>
    </row>
    <row r="504" spans="1:14" ht="15" customHeight="1" x14ac:dyDescent="0.35">
      <c r="A504">
        <v>45</v>
      </c>
      <c r="B504">
        <v>25</v>
      </c>
      <c r="C504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Master'!$F:$F,B504),"")</f>
        <v>96</v>
      </c>
      <c r="D504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Master'!$F:$F,B504),"")</f>
        <v>1.54</v>
      </c>
      <c r="E504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Master'!$F:$F,B504),"")</f>
        <v>1.54</v>
      </c>
      <c r="F504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Master'!$F:$F,B504),"")</f>
        <v>0.08</v>
      </c>
      <c r="G504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Master'!$F:$F,B504),"")</f>
        <v>143</v>
      </c>
      <c r="H504">
        <f>IF(AND(ISNUMBER(C504),C504&gt;='Bulk Calculator'!U45/('Bulk Calculator'!J45*'Bulk Calculator'!L45)),1,0)</f>
        <v>1</v>
      </c>
      <c r="I504">
        <f>IFERROR(IF(AND(ISNUMBER(E504),ISNUMBER(F504),E504&gt;0,F504&gt;0),SQRT(3)*'Bulk Calculator'!O45*'Bulk Calculator'!AA45*((E504*'Bulk Calculator'!Q45)+(F504*SQRT(1-'Bulk Calculator'!Q45^2)))/'Bulk Calculator'!J45/'Bulk Calculator'!K45*100,D504*'Bulk Calculator'!AA45*'Bulk Calculator'!O45/'Bulk Calculator'!J45/'Bulk Calculator'!K45*100),"")</f>
        <v>0</v>
      </c>
      <c r="J504">
        <f>IFERROR(IF(AND(ISNUMBER(E504),ISNUMBER(F504),E504&gt;0,F504&gt;0),SQRT(3)*'Bulk Calculator'!O45*'Bulk Calculator'!U45*((E504*'Bulk Calculator'!M45)+(F504*SQRT(1-'Bulk Calculator'!M45^2)))/'Bulk Calculator'!J45/'Bulk Calculator'!K45*100,D504*'Bulk Calculator'!U45*'Bulk Calculator'!O45/'Bulk Calculator'!J45/'Bulk Calculator'!K45*100),"")</f>
        <v>0</v>
      </c>
      <c r="K504">
        <f>IFERROR(G504*B504*'Bulk Calculator'!J45/SQRT('Bulk Calculator'!S45)/1000,"")</f>
        <v>7.9939430195617485</v>
      </c>
      <c r="L504">
        <f>IF(OR('Bulk Calculator'!R45="",'Bulk Calculator'!S45="",G504=""),0,IF(K504&gt;='Bulk Calculator'!R45,1,0))</f>
        <v>1</v>
      </c>
      <c r="M504">
        <f>IF(AND(H504=1,I504&lt;='OS-DORAEN'!$B$6,J504&lt;='OS-DORAEN'!$B$5,L504=1),1,0)</f>
        <v>1</v>
      </c>
      <c r="N504" t="str">
        <f t="shared" si="7"/>
        <v>R/X</v>
      </c>
    </row>
    <row r="505" spans="1:14" ht="15" customHeight="1" x14ac:dyDescent="0.35">
      <c r="A505">
        <v>45</v>
      </c>
      <c r="B505">
        <v>16</v>
      </c>
      <c r="C505">
        <f>IFERROR(SUMIFS('Cable Data Master'!$G:$G,'Cable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Master'!$F:$F,B505),"")</f>
        <v>0</v>
      </c>
      <c r="D505">
        <f>IFERROR(SUMIFS('Cable Data Master'!$K:$K,'Cable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Master'!$F:$F,B505),"")</f>
        <v>0</v>
      </c>
      <c r="E505">
        <f>IFERROR(SUMIFS('Cable Data Master'!$H:$H,'Cable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Master'!$F:$F,B505),"")</f>
        <v>0</v>
      </c>
      <c r="F505">
        <f>IFERROR(SUMIFS('Cable Data Master'!$I:$I,'Cable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Master'!$F:$F,B505),"")</f>
        <v>0</v>
      </c>
      <c r="G505">
        <f>IFERROR(SUMIFS('Cable Data Master'!$J:$J,'Cable Data Master'!$A:$A,'Bulk Calculator'!$BF45,'Cable Data Master'!$B:$B,'Bulk Calculator'!$BG45,'Cable Data Master'!$C:$C,'Bulk Calculator'!$BH45,'Cable Data Master'!$D:$D,'Bulk Calculator'!$BI45,'Cable Data Master'!$E:$E,'Bulk Calculator'!$BJ45,'Cable Data Master'!$F:$F,B505),"")</f>
        <v>0</v>
      </c>
      <c r="H505">
        <f>IF(AND(ISNUMBER(C505),C505&gt;='Bulk Calculator'!U45/('Bulk Calculator'!J45*'Bulk Calculator'!L45)),1,0)</f>
        <v>1</v>
      </c>
      <c r="I505">
        <f>IFERROR(IF(AND(ISNUMBER(E505),ISNUMBER(F505),E505&gt;0,F505&gt;0),SQRT(3)*'Bulk Calculator'!O45*'Bulk Calculator'!AA45*((E505*'Bulk Calculator'!Q45)+(F505*SQRT(1-'Bulk Calculator'!Q45^2)))/'Bulk Calculator'!J45/'Bulk Calculator'!K45*100,D505*'Bulk Calculator'!AA45*'Bulk Calculator'!O45/'Bulk Calculator'!J45/'Bulk Calculator'!K45*100),"")</f>
        <v>0</v>
      </c>
      <c r="J505">
        <f>IFERROR(IF(AND(ISNUMBER(E505),ISNUMBER(F505),E505&gt;0,F505&gt;0),SQRT(3)*'Bulk Calculator'!O45*'Bulk Calculator'!U45*((E505*'Bulk Calculator'!M45)+(F505*SQRT(1-'Bulk Calculator'!M45^2)))/'Bulk Calculator'!J45/'Bulk Calculator'!K45*100,D505*'Bulk Calculator'!U45*'Bulk Calculator'!O45/'Bulk Calculator'!J45/'Bulk Calculator'!K45*100),"")</f>
        <v>0</v>
      </c>
      <c r="K505">
        <f>IFERROR(G505*B505*'Bulk Calculator'!J45/SQRT('Bulk Calculator'!S45)/1000,"")</f>
        <v>0</v>
      </c>
      <c r="L505">
        <f>IF(OR('Bulk Calculator'!R45="",'Bulk Calculator'!S45="",G505=""),0,IF(K505&gt;='Bulk Calculator'!R45,1,0))</f>
        <v>1</v>
      </c>
      <c r="M505">
        <f>IF(AND(H505=1,I505&lt;='OS-DORAEN'!$B$6,J505&lt;='OS-DORAEN'!$B$5,L505=1),1,0)</f>
        <v>1</v>
      </c>
      <c r="N505" t="str">
        <f t="shared" si="7"/>
        <v>Manufacturer VD Ref</v>
      </c>
    </row>
    <row r="506" spans="1:14" ht="15" customHeight="1" x14ac:dyDescent="0.35">
      <c r="A506">
        <v>46</v>
      </c>
      <c r="B506">
        <v>400</v>
      </c>
      <c r="C506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Master'!$F:$F,B506),"")</f>
        <v>530</v>
      </c>
      <c r="D506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Master'!$F:$F,B506),"")</f>
        <v>0.1023</v>
      </c>
      <c r="E506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Master'!$F:$F,B506),"")</f>
        <v>0.1023</v>
      </c>
      <c r="F506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Master'!$F:$F,B506),"")</f>
        <v>7.0000000000000007E-2</v>
      </c>
      <c r="G506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Master'!$F:$F,B506),"")</f>
        <v>143</v>
      </c>
      <c r="H506">
        <f>IF(AND(ISNUMBER(C506),C506&gt;='Bulk Calculator'!U46/('Bulk Calculator'!J46*'Bulk Calculator'!L46)),1,0)</f>
        <v>1</v>
      </c>
      <c r="I506">
        <f>IFERROR(IF(AND(ISNUMBER(E506),ISNUMBER(F506),E506&gt;0,F506&gt;0),SQRT(3)*'Bulk Calculator'!O46*'Bulk Calculator'!AA46*((E506*'Bulk Calculator'!Q46)+(F506*SQRT(1-'Bulk Calculator'!Q46^2)))/'Bulk Calculator'!J46/'Bulk Calculator'!K46*100,D506*'Bulk Calculator'!AA46*'Bulk Calculator'!O46/'Bulk Calculator'!J46/'Bulk Calculator'!K46*100),"")</f>
        <v>0</v>
      </c>
      <c r="J506">
        <f>IFERROR(IF(AND(ISNUMBER(E506),ISNUMBER(F506),E506&gt;0,F506&gt;0),SQRT(3)*'Bulk Calculator'!O46*'Bulk Calculator'!U46*((E506*'Bulk Calculator'!M46)+(F506*SQRT(1-'Bulk Calculator'!M46^2)))/'Bulk Calculator'!J46/'Bulk Calculator'!K46*100,D506*'Bulk Calculator'!U46*'Bulk Calculator'!O46/'Bulk Calculator'!J46/'Bulk Calculator'!K46*100),"")</f>
        <v>0</v>
      </c>
      <c r="K506">
        <f>IFERROR(G506*B506*'Bulk Calculator'!J46/SQRT('Bulk Calculator'!S46)/1000,"")</f>
        <v>127.90308831298798</v>
      </c>
      <c r="L506">
        <f>IF(OR('Bulk Calculator'!R46="",'Bulk Calculator'!S46="",G506=""),0,IF(K506&gt;='Bulk Calculator'!R46,1,0))</f>
        <v>1</v>
      </c>
      <c r="M506">
        <f>IF(AND(H506=1,I506&lt;='OS-DORAEN'!$B$6,J506&lt;='OS-DORAEN'!$B$5,L506=1),1,0)</f>
        <v>1</v>
      </c>
      <c r="N506" t="str">
        <f t="shared" si="7"/>
        <v>R/X</v>
      </c>
    </row>
    <row r="507" spans="1:14" ht="15" customHeight="1" x14ac:dyDescent="0.35">
      <c r="A507">
        <v>46</v>
      </c>
      <c r="B507">
        <v>300</v>
      </c>
      <c r="C507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Master'!$F:$F,B507),"")</f>
        <v>455</v>
      </c>
      <c r="D507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Master'!$F:$F,B507),"")</f>
        <v>0.13</v>
      </c>
      <c r="E507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Master'!$F:$F,B507),"")</f>
        <v>0.13</v>
      </c>
      <c r="F507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Master'!$F:$F,B507),"")</f>
        <v>7.0999999999999994E-2</v>
      </c>
      <c r="G507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Master'!$F:$F,B507),"")</f>
        <v>143</v>
      </c>
      <c r="H507">
        <f>IF(AND(ISNUMBER(C507),C507&gt;='Bulk Calculator'!U46/('Bulk Calculator'!J46*'Bulk Calculator'!L46)),1,0)</f>
        <v>1</v>
      </c>
      <c r="I507">
        <f>IFERROR(IF(AND(ISNUMBER(E507),ISNUMBER(F507),E507&gt;0,F507&gt;0),SQRT(3)*'Bulk Calculator'!O46*'Bulk Calculator'!AA46*((E507*'Bulk Calculator'!Q46)+(F507*SQRT(1-'Bulk Calculator'!Q46^2)))/'Bulk Calculator'!J46/'Bulk Calculator'!K46*100,D507*'Bulk Calculator'!AA46*'Bulk Calculator'!O46/'Bulk Calculator'!J46/'Bulk Calculator'!K46*100),"")</f>
        <v>0</v>
      </c>
      <c r="J507">
        <f>IFERROR(IF(AND(ISNUMBER(E507),ISNUMBER(F507),E507&gt;0,F507&gt;0),SQRT(3)*'Bulk Calculator'!O46*'Bulk Calculator'!U46*((E507*'Bulk Calculator'!M46)+(F507*SQRT(1-'Bulk Calculator'!M46^2)))/'Bulk Calculator'!J46/'Bulk Calculator'!K46*100,D507*'Bulk Calculator'!U46*'Bulk Calculator'!O46/'Bulk Calculator'!J46/'Bulk Calculator'!K46*100),"")</f>
        <v>0</v>
      </c>
      <c r="K507">
        <f>IFERROR(G507*B507*'Bulk Calculator'!J46/SQRT('Bulk Calculator'!S46)/1000,"")</f>
        <v>95.927316234740985</v>
      </c>
      <c r="L507">
        <f>IF(OR('Bulk Calculator'!R46="",'Bulk Calculator'!S46="",G507=""),0,IF(K507&gt;='Bulk Calculator'!R46,1,0))</f>
        <v>1</v>
      </c>
      <c r="M507">
        <f>IF(AND(H507=1,I507&lt;='OS-DORAEN'!$B$6,J507&lt;='OS-DORAEN'!$B$5,L507=1),1,0)</f>
        <v>1</v>
      </c>
      <c r="N507" t="str">
        <f t="shared" si="7"/>
        <v>R/X</v>
      </c>
    </row>
    <row r="508" spans="1:14" ht="15" customHeight="1" x14ac:dyDescent="0.35">
      <c r="A508">
        <v>46</v>
      </c>
      <c r="B508">
        <v>240</v>
      </c>
      <c r="C508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Master'!$F:$F,B508),"")</f>
        <v>399</v>
      </c>
      <c r="D508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Master'!$F:$F,B508),"")</f>
        <v>0.16200000000000001</v>
      </c>
      <c r="E508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Master'!$F:$F,B508),"")</f>
        <v>0.16200000000000001</v>
      </c>
      <c r="F508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Master'!$F:$F,B508),"")</f>
        <v>7.1999999999999995E-2</v>
      </c>
      <c r="G508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Master'!$F:$F,B508),"")</f>
        <v>143</v>
      </c>
      <c r="H508">
        <f>IF(AND(ISNUMBER(C508),C508&gt;='Bulk Calculator'!U46/('Bulk Calculator'!J46*'Bulk Calculator'!L46)),1,0)</f>
        <v>1</v>
      </c>
      <c r="I508">
        <f>IFERROR(IF(AND(ISNUMBER(E508),ISNUMBER(F508),E508&gt;0,F508&gt;0),SQRT(3)*'Bulk Calculator'!O46*'Bulk Calculator'!AA46*((E508*'Bulk Calculator'!Q46)+(F508*SQRT(1-'Bulk Calculator'!Q46^2)))/'Bulk Calculator'!J46/'Bulk Calculator'!K46*100,D508*'Bulk Calculator'!AA46*'Bulk Calculator'!O46/'Bulk Calculator'!J46/'Bulk Calculator'!K46*100),"")</f>
        <v>0</v>
      </c>
      <c r="J508">
        <f>IFERROR(IF(AND(ISNUMBER(E508),ISNUMBER(F508),E508&gt;0,F508&gt;0),SQRT(3)*'Bulk Calculator'!O46*'Bulk Calculator'!U46*((E508*'Bulk Calculator'!M46)+(F508*SQRT(1-'Bulk Calculator'!M46^2)))/'Bulk Calculator'!J46/'Bulk Calculator'!K46*100,D508*'Bulk Calculator'!U46*'Bulk Calculator'!O46/'Bulk Calculator'!J46/'Bulk Calculator'!K46*100),"")</f>
        <v>0</v>
      </c>
      <c r="K508">
        <f>IFERROR(G508*B508*'Bulk Calculator'!J46/SQRT('Bulk Calculator'!S46)/1000,"")</f>
        <v>76.741852987792782</v>
      </c>
      <c r="L508">
        <f>IF(OR('Bulk Calculator'!R46="",'Bulk Calculator'!S46="",G508=""),0,IF(K508&gt;='Bulk Calculator'!R46,1,0))</f>
        <v>1</v>
      </c>
      <c r="M508">
        <f>IF(AND(H508=1,I508&lt;='OS-DORAEN'!$B$6,J508&lt;='OS-DORAEN'!$B$5,L508=1),1,0)</f>
        <v>1</v>
      </c>
      <c r="N508" t="str">
        <f t="shared" si="7"/>
        <v>R/X</v>
      </c>
    </row>
    <row r="509" spans="1:14" ht="15" customHeight="1" x14ac:dyDescent="0.35">
      <c r="A509">
        <v>46</v>
      </c>
      <c r="B509">
        <v>185</v>
      </c>
      <c r="C509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Master'!$F:$F,B509),"")</f>
        <v>337</v>
      </c>
      <c r="D509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Master'!$F:$F,B509),"")</f>
        <v>0.21099999999999999</v>
      </c>
      <c r="E509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Master'!$F:$F,B509),"")</f>
        <v>0.21099999999999999</v>
      </c>
      <c r="F509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Master'!$F:$F,B509),"")</f>
        <v>7.1999999999999995E-2</v>
      </c>
      <c r="G509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Master'!$F:$F,B509),"")</f>
        <v>143</v>
      </c>
      <c r="H509">
        <f>IF(AND(ISNUMBER(C509),C509&gt;='Bulk Calculator'!U46/('Bulk Calculator'!J46*'Bulk Calculator'!L46)),1,0)</f>
        <v>1</v>
      </c>
      <c r="I509">
        <f>IFERROR(IF(AND(ISNUMBER(E509),ISNUMBER(F509),E509&gt;0,F509&gt;0),SQRT(3)*'Bulk Calculator'!O46*'Bulk Calculator'!AA46*((E509*'Bulk Calculator'!Q46)+(F509*SQRT(1-'Bulk Calculator'!Q46^2)))/'Bulk Calculator'!J46/'Bulk Calculator'!K46*100,D509*'Bulk Calculator'!AA46*'Bulk Calculator'!O46/'Bulk Calculator'!J46/'Bulk Calculator'!K46*100),"")</f>
        <v>0</v>
      </c>
      <c r="J509">
        <f>IFERROR(IF(AND(ISNUMBER(E509),ISNUMBER(F509),E509&gt;0,F509&gt;0),SQRT(3)*'Bulk Calculator'!O46*'Bulk Calculator'!U46*((E509*'Bulk Calculator'!M46)+(F509*SQRT(1-'Bulk Calculator'!M46^2)))/'Bulk Calculator'!J46/'Bulk Calculator'!K46*100,D509*'Bulk Calculator'!U46*'Bulk Calculator'!O46/'Bulk Calculator'!J46/'Bulk Calculator'!K46*100),"")</f>
        <v>0</v>
      </c>
      <c r="K509">
        <f>IFERROR(G509*B509*'Bulk Calculator'!J46/SQRT('Bulk Calculator'!S46)/1000,"")</f>
        <v>59.155178344756941</v>
      </c>
      <c r="L509">
        <f>IF(OR('Bulk Calculator'!R46="",'Bulk Calculator'!S46="",G509=""),0,IF(K509&gt;='Bulk Calculator'!R46,1,0))</f>
        <v>1</v>
      </c>
      <c r="M509">
        <f>IF(AND(H509=1,I509&lt;='OS-DORAEN'!$B$6,J509&lt;='OS-DORAEN'!$B$5,L509=1),1,0)</f>
        <v>1</v>
      </c>
      <c r="N509" t="str">
        <f t="shared" si="7"/>
        <v>R/X</v>
      </c>
    </row>
    <row r="510" spans="1:14" ht="15" customHeight="1" x14ac:dyDescent="0.35">
      <c r="A510">
        <v>46</v>
      </c>
      <c r="B510">
        <v>150</v>
      </c>
      <c r="C510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Master'!$F:$F,B510),"")</f>
        <v>292</v>
      </c>
      <c r="D510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Master'!$F:$F,B510),"")</f>
        <v>0.26500000000000001</v>
      </c>
      <c r="E510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Master'!$F:$F,B510),"")</f>
        <v>0.26500000000000001</v>
      </c>
      <c r="F510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Master'!$F:$F,B510),"")</f>
        <v>7.1999999999999995E-2</v>
      </c>
      <c r="G510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Master'!$F:$F,B510),"")</f>
        <v>143</v>
      </c>
      <c r="H510">
        <f>IF(AND(ISNUMBER(C510),C510&gt;='Bulk Calculator'!U46/('Bulk Calculator'!J46*'Bulk Calculator'!L46)),1,0)</f>
        <v>1</v>
      </c>
      <c r="I510">
        <f>IFERROR(IF(AND(ISNUMBER(E510),ISNUMBER(F510),E510&gt;0,F510&gt;0),SQRT(3)*'Bulk Calculator'!O46*'Bulk Calculator'!AA46*((E510*'Bulk Calculator'!Q46)+(F510*SQRT(1-'Bulk Calculator'!Q46^2)))/'Bulk Calculator'!J46/'Bulk Calculator'!K46*100,D510*'Bulk Calculator'!AA46*'Bulk Calculator'!O46/'Bulk Calculator'!J46/'Bulk Calculator'!K46*100),"")</f>
        <v>0</v>
      </c>
      <c r="J510">
        <f>IFERROR(IF(AND(ISNUMBER(E510),ISNUMBER(F510),E510&gt;0,F510&gt;0),SQRT(3)*'Bulk Calculator'!O46*'Bulk Calculator'!U46*((E510*'Bulk Calculator'!M46)+(F510*SQRT(1-'Bulk Calculator'!M46^2)))/'Bulk Calculator'!J46/'Bulk Calculator'!K46*100,D510*'Bulk Calculator'!U46*'Bulk Calculator'!O46/'Bulk Calculator'!J46/'Bulk Calculator'!K46*100),"")</f>
        <v>0</v>
      </c>
      <c r="K510">
        <f>IFERROR(G510*B510*'Bulk Calculator'!J46/SQRT('Bulk Calculator'!S46)/1000,"")</f>
        <v>47.963658117370493</v>
      </c>
      <c r="L510">
        <f>IF(OR('Bulk Calculator'!R46="",'Bulk Calculator'!S46="",G510=""),0,IF(K510&gt;='Bulk Calculator'!R46,1,0))</f>
        <v>1</v>
      </c>
      <c r="M510">
        <f>IF(AND(H510=1,I510&lt;='OS-DORAEN'!$B$6,J510&lt;='OS-DORAEN'!$B$5,L510=1),1,0)</f>
        <v>1</v>
      </c>
      <c r="N510" t="str">
        <f t="shared" si="7"/>
        <v>R/X</v>
      </c>
    </row>
    <row r="511" spans="1:14" ht="15" customHeight="1" x14ac:dyDescent="0.35">
      <c r="A511">
        <v>46</v>
      </c>
      <c r="B511">
        <v>120</v>
      </c>
      <c r="C511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Master'!$F:$F,B511),"")</f>
        <v>257</v>
      </c>
      <c r="D511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Master'!$F:$F,B511),"")</f>
        <v>0.32500000000000001</v>
      </c>
      <c r="E511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Master'!$F:$F,B511),"")</f>
        <v>0.32500000000000001</v>
      </c>
      <c r="F511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Master'!$F:$F,B511),"")</f>
        <v>7.1999999999999995E-2</v>
      </c>
      <c r="G511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Master'!$F:$F,B511),"")</f>
        <v>143</v>
      </c>
      <c r="H511">
        <f>IF(AND(ISNUMBER(C511),C511&gt;='Bulk Calculator'!U46/('Bulk Calculator'!J46*'Bulk Calculator'!L46)),1,0)</f>
        <v>1</v>
      </c>
      <c r="I511">
        <f>IFERROR(IF(AND(ISNUMBER(E511),ISNUMBER(F511),E511&gt;0,F511&gt;0),SQRT(3)*'Bulk Calculator'!O46*'Bulk Calculator'!AA46*((E511*'Bulk Calculator'!Q46)+(F511*SQRT(1-'Bulk Calculator'!Q46^2)))/'Bulk Calculator'!J46/'Bulk Calculator'!K46*100,D511*'Bulk Calculator'!AA46*'Bulk Calculator'!O46/'Bulk Calculator'!J46/'Bulk Calculator'!K46*100),"")</f>
        <v>0</v>
      </c>
      <c r="J511">
        <f>IFERROR(IF(AND(ISNUMBER(E511),ISNUMBER(F511),E511&gt;0,F511&gt;0),SQRT(3)*'Bulk Calculator'!O46*'Bulk Calculator'!U46*((E511*'Bulk Calculator'!M46)+(F511*SQRT(1-'Bulk Calculator'!M46^2)))/'Bulk Calculator'!J46/'Bulk Calculator'!K46*100,D511*'Bulk Calculator'!U46*'Bulk Calculator'!O46/'Bulk Calculator'!J46/'Bulk Calculator'!K46*100),"")</f>
        <v>0</v>
      </c>
      <c r="K511">
        <f>IFERROR(G511*B511*'Bulk Calculator'!J46/SQRT('Bulk Calculator'!S46)/1000,"")</f>
        <v>38.370926493896391</v>
      </c>
      <c r="L511">
        <f>IF(OR('Bulk Calculator'!R46="",'Bulk Calculator'!S46="",G511=""),0,IF(K511&gt;='Bulk Calculator'!R46,1,0))</f>
        <v>1</v>
      </c>
      <c r="M511">
        <f>IF(AND(H511=1,I511&lt;='OS-DORAEN'!$B$6,J511&lt;='OS-DORAEN'!$B$5,L511=1),1,0)</f>
        <v>1</v>
      </c>
      <c r="N511" t="str">
        <f t="shared" si="7"/>
        <v>R/X</v>
      </c>
    </row>
    <row r="512" spans="1:14" ht="15" customHeight="1" x14ac:dyDescent="0.35">
      <c r="A512">
        <v>46</v>
      </c>
      <c r="B512">
        <v>95</v>
      </c>
      <c r="C512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Master'!$F:$F,B512),"")</f>
        <v>221</v>
      </c>
      <c r="D512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Master'!$F:$F,B512),"")</f>
        <v>0.41</v>
      </c>
      <c r="E512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Master'!$F:$F,B512),"")</f>
        <v>0.41</v>
      </c>
      <c r="F512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Master'!$F:$F,B512),"")</f>
        <v>7.3999999999999996E-2</v>
      </c>
      <c r="G512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Master'!$F:$F,B512),"")</f>
        <v>143</v>
      </c>
      <c r="H512">
        <f>IF(AND(ISNUMBER(C512),C512&gt;='Bulk Calculator'!U46/('Bulk Calculator'!J46*'Bulk Calculator'!L46)),1,0)</f>
        <v>1</v>
      </c>
      <c r="I512">
        <f>IFERROR(IF(AND(ISNUMBER(E512),ISNUMBER(F512),E512&gt;0,F512&gt;0),SQRT(3)*'Bulk Calculator'!O46*'Bulk Calculator'!AA46*((E512*'Bulk Calculator'!Q46)+(F512*SQRT(1-'Bulk Calculator'!Q46^2)))/'Bulk Calculator'!J46/'Bulk Calculator'!K46*100,D512*'Bulk Calculator'!AA46*'Bulk Calculator'!O46/'Bulk Calculator'!J46/'Bulk Calculator'!K46*100),"")</f>
        <v>0</v>
      </c>
      <c r="J512">
        <f>IFERROR(IF(AND(ISNUMBER(E512),ISNUMBER(F512),E512&gt;0,F512&gt;0),SQRT(3)*'Bulk Calculator'!O46*'Bulk Calculator'!U46*((E512*'Bulk Calculator'!M46)+(F512*SQRT(1-'Bulk Calculator'!M46^2)))/'Bulk Calculator'!J46/'Bulk Calculator'!K46*100,D512*'Bulk Calculator'!U46*'Bulk Calculator'!O46/'Bulk Calculator'!J46/'Bulk Calculator'!K46*100),"")</f>
        <v>0</v>
      </c>
      <c r="K512">
        <f>IFERROR(G512*B512*'Bulk Calculator'!J46/SQRT('Bulk Calculator'!S46)/1000,"")</f>
        <v>30.376983474334644</v>
      </c>
      <c r="L512">
        <f>IF(OR('Bulk Calculator'!R46="",'Bulk Calculator'!S46="",G512=""),0,IF(K512&gt;='Bulk Calculator'!R46,1,0))</f>
        <v>1</v>
      </c>
      <c r="M512">
        <f>IF(AND(H512=1,I512&lt;='OS-DORAEN'!$B$6,J512&lt;='OS-DORAEN'!$B$5,L512=1),1,0)</f>
        <v>1</v>
      </c>
      <c r="N512" t="str">
        <f t="shared" si="7"/>
        <v>R/X</v>
      </c>
    </row>
    <row r="513" spans="1:14" ht="15" customHeight="1" x14ac:dyDescent="0.35">
      <c r="A513">
        <v>46</v>
      </c>
      <c r="B513">
        <v>70</v>
      </c>
      <c r="C513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Master'!$F:$F,B513),"")</f>
        <v>179</v>
      </c>
      <c r="D513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Master'!$F:$F,B513),"")</f>
        <v>0.56699999999999995</v>
      </c>
      <c r="E513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Master'!$F:$F,B513),"")</f>
        <v>0.56699999999999995</v>
      </c>
      <c r="F513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Master'!$F:$F,B513),"")</f>
        <v>7.6999999999999999E-2</v>
      </c>
      <c r="G513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Master'!$F:$F,B513),"")</f>
        <v>143</v>
      </c>
      <c r="H513">
        <f>IF(AND(ISNUMBER(C513),C513&gt;='Bulk Calculator'!U46/('Bulk Calculator'!J46*'Bulk Calculator'!L46)),1,0)</f>
        <v>1</v>
      </c>
      <c r="I513">
        <f>IFERROR(IF(AND(ISNUMBER(E513),ISNUMBER(F513),E513&gt;0,F513&gt;0),SQRT(3)*'Bulk Calculator'!O46*'Bulk Calculator'!AA46*((E513*'Bulk Calculator'!Q46)+(F513*SQRT(1-'Bulk Calculator'!Q46^2)))/'Bulk Calculator'!J46/'Bulk Calculator'!K46*100,D513*'Bulk Calculator'!AA46*'Bulk Calculator'!O46/'Bulk Calculator'!J46/'Bulk Calculator'!K46*100),"")</f>
        <v>0</v>
      </c>
      <c r="J513">
        <f>IFERROR(IF(AND(ISNUMBER(E513),ISNUMBER(F513),E513&gt;0,F513&gt;0),SQRT(3)*'Bulk Calculator'!O46*'Bulk Calculator'!U46*((E513*'Bulk Calculator'!M46)+(F513*SQRT(1-'Bulk Calculator'!M46^2)))/'Bulk Calculator'!J46/'Bulk Calculator'!K46*100,D513*'Bulk Calculator'!U46*'Bulk Calculator'!O46/'Bulk Calculator'!J46/'Bulk Calculator'!K46*100),"")</f>
        <v>0</v>
      </c>
      <c r="K513">
        <f>IFERROR(G513*B513*'Bulk Calculator'!J46/SQRT('Bulk Calculator'!S46)/1000,"")</f>
        <v>22.383040454772893</v>
      </c>
      <c r="L513">
        <f>IF(OR('Bulk Calculator'!R46="",'Bulk Calculator'!S46="",G513=""),0,IF(K513&gt;='Bulk Calculator'!R46,1,0))</f>
        <v>1</v>
      </c>
      <c r="M513">
        <f>IF(AND(H513=1,I513&lt;='OS-DORAEN'!$B$6,J513&lt;='OS-DORAEN'!$B$5,L513=1),1,0)</f>
        <v>1</v>
      </c>
      <c r="N513" t="str">
        <f t="shared" si="7"/>
        <v>R/X</v>
      </c>
    </row>
    <row r="514" spans="1:14" ht="15" customHeight="1" x14ac:dyDescent="0.35">
      <c r="A514">
        <v>46</v>
      </c>
      <c r="B514">
        <v>50</v>
      </c>
      <c r="C514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Master'!$F:$F,B514),"")</f>
        <v>142</v>
      </c>
      <c r="D514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Master'!$F:$F,B514),"")</f>
        <v>0.82</v>
      </c>
      <c r="E514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Master'!$F:$F,B514),"")</f>
        <v>0.82</v>
      </c>
      <c r="F514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Master'!$F:$F,B514),"")</f>
        <v>7.8E-2</v>
      </c>
      <c r="G514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Master'!$F:$F,B514),"")</f>
        <v>143</v>
      </c>
      <c r="H514">
        <f>IF(AND(ISNUMBER(C514),C514&gt;='Bulk Calculator'!U46/('Bulk Calculator'!J46*'Bulk Calculator'!L46)),1,0)</f>
        <v>1</v>
      </c>
      <c r="I514">
        <f>IFERROR(IF(AND(ISNUMBER(E514),ISNUMBER(F514),E514&gt;0,F514&gt;0),SQRT(3)*'Bulk Calculator'!O46*'Bulk Calculator'!AA46*((E514*'Bulk Calculator'!Q46)+(F514*SQRT(1-'Bulk Calculator'!Q46^2)))/'Bulk Calculator'!J46/'Bulk Calculator'!K46*100,D514*'Bulk Calculator'!AA46*'Bulk Calculator'!O46/'Bulk Calculator'!J46/'Bulk Calculator'!K46*100),"")</f>
        <v>0</v>
      </c>
      <c r="J514">
        <f>IFERROR(IF(AND(ISNUMBER(E514),ISNUMBER(F514),E514&gt;0,F514&gt;0),SQRT(3)*'Bulk Calculator'!O46*'Bulk Calculator'!U46*((E514*'Bulk Calculator'!M46)+(F514*SQRT(1-'Bulk Calculator'!M46^2)))/'Bulk Calculator'!J46/'Bulk Calculator'!K46*100,D514*'Bulk Calculator'!U46*'Bulk Calculator'!O46/'Bulk Calculator'!J46/'Bulk Calculator'!K46*100),"")</f>
        <v>0</v>
      </c>
      <c r="K514">
        <f>IFERROR(G514*B514*'Bulk Calculator'!J46/SQRT('Bulk Calculator'!S46)/1000,"")</f>
        <v>15.987886039123497</v>
      </c>
      <c r="L514">
        <f>IF(OR('Bulk Calculator'!R46="",'Bulk Calculator'!S46="",G514=""),0,IF(K514&gt;='Bulk Calculator'!R46,1,0))</f>
        <v>1</v>
      </c>
      <c r="M514">
        <f>IF(AND(H514=1,I514&lt;='OS-DORAEN'!$B$6,J514&lt;='OS-DORAEN'!$B$5,L514=1),1,0)</f>
        <v>1</v>
      </c>
      <c r="N514" t="str">
        <f t="shared" ref="N514:N577" si="8">IF(AND(ISNUMBER(E514),ISNUMBER(F514),E514&gt;0,F514&gt;0),"R/X","Manufacturer VD Ref")</f>
        <v>R/X</v>
      </c>
    </row>
    <row r="515" spans="1:14" ht="15" customHeight="1" x14ac:dyDescent="0.35">
      <c r="A515">
        <v>46</v>
      </c>
      <c r="B515">
        <v>35</v>
      </c>
      <c r="C515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Master'!$F:$F,B515),"")</f>
        <v>117</v>
      </c>
      <c r="D515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Master'!$F:$F,B515),"")</f>
        <v>1.1100000000000001</v>
      </c>
      <c r="E515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Master'!$F:$F,B515),"")</f>
        <v>1.1100000000000001</v>
      </c>
      <c r="F515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Master'!$F:$F,B515),"")</f>
        <v>0.08</v>
      </c>
      <c r="G515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Master'!$F:$F,B515),"")</f>
        <v>143</v>
      </c>
      <c r="H515">
        <f>IF(AND(ISNUMBER(C515),C515&gt;='Bulk Calculator'!U46/('Bulk Calculator'!J46*'Bulk Calculator'!L46)),1,0)</f>
        <v>1</v>
      </c>
      <c r="I515">
        <f>IFERROR(IF(AND(ISNUMBER(E515),ISNUMBER(F515),E515&gt;0,F515&gt;0),SQRT(3)*'Bulk Calculator'!O46*'Bulk Calculator'!AA46*((E515*'Bulk Calculator'!Q46)+(F515*SQRT(1-'Bulk Calculator'!Q46^2)))/'Bulk Calculator'!J46/'Bulk Calculator'!K46*100,D515*'Bulk Calculator'!AA46*'Bulk Calculator'!O46/'Bulk Calculator'!J46/'Bulk Calculator'!K46*100),"")</f>
        <v>0</v>
      </c>
      <c r="J515">
        <f>IFERROR(IF(AND(ISNUMBER(E515),ISNUMBER(F515),E515&gt;0,F515&gt;0),SQRT(3)*'Bulk Calculator'!O46*'Bulk Calculator'!U46*((E515*'Bulk Calculator'!M46)+(F515*SQRT(1-'Bulk Calculator'!M46^2)))/'Bulk Calculator'!J46/'Bulk Calculator'!K46*100,D515*'Bulk Calculator'!U46*'Bulk Calculator'!O46/'Bulk Calculator'!J46/'Bulk Calculator'!K46*100),"")</f>
        <v>0</v>
      </c>
      <c r="K515">
        <f>IFERROR(G515*B515*'Bulk Calculator'!J46/SQRT('Bulk Calculator'!S46)/1000,"")</f>
        <v>11.191520227386446</v>
      </c>
      <c r="L515">
        <f>IF(OR('Bulk Calculator'!R46="",'Bulk Calculator'!S46="",G515=""),0,IF(K515&gt;='Bulk Calculator'!R46,1,0))</f>
        <v>1</v>
      </c>
      <c r="M515">
        <f>IF(AND(H515=1,I515&lt;='OS-DORAEN'!$B$6,J515&lt;='OS-DORAEN'!$B$5,L515=1),1,0)</f>
        <v>1</v>
      </c>
      <c r="N515" t="str">
        <f t="shared" si="8"/>
        <v>R/X</v>
      </c>
    </row>
    <row r="516" spans="1:14" ht="15" customHeight="1" x14ac:dyDescent="0.35">
      <c r="A516">
        <v>46</v>
      </c>
      <c r="B516">
        <v>25</v>
      </c>
      <c r="C516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Master'!$F:$F,B516),"")</f>
        <v>96</v>
      </c>
      <c r="D516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Master'!$F:$F,B516),"")</f>
        <v>1.54</v>
      </c>
      <c r="E516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Master'!$F:$F,B516),"")</f>
        <v>1.54</v>
      </c>
      <c r="F516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Master'!$F:$F,B516),"")</f>
        <v>0.08</v>
      </c>
      <c r="G516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Master'!$F:$F,B516),"")</f>
        <v>143</v>
      </c>
      <c r="H516">
        <f>IF(AND(ISNUMBER(C516),C516&gt;='Bulk Calculator'!U46/('Bulk Calculator'!J46*'Bulk Calculator'!L46)),1,0)</f>
        <v>1</v>
      </c>
      <c r="I516">
        <f>IFERROR(IF(AND(ISNUMBER(E516),ISNUMBER(F516),E516&gt;0,F516&gt;0),SQRT(3)*'Bulk Calculator'!O46*'Bulk Calculator'!AA46*((E516*'Bulk Calculator'!Q46)+(F516*SQRT(1-'Bulk Calculator'!Q46^2)))/'Bulk Calculator'!J46/'Bulk Calculator'!K46*100,D516*'Bulk Calculator'!AA46*'Bulk Calculator'!O46/'Bulk Calculator'!J46/'Bulk Calculator'!K46*100),"")</f>
        <v>0</v>
      </c>
      <c r="J516">
        <f>IFERROR(IF(AND(ISNUMBER(E516),ISNUMBER(F516),E516&gt;0,F516&gt;0),SQRT(3)*'Bulk Calculator'!O46*'Bulk Calculator'!U46*((E516*'Bulk Calculator'!M46)+(F516*SQRT(1-'Bulk Calculator'!M46^2)))/'Bulk Calculator'!J46/'Bulk Calculator'!K46*100,D516*'Bulk Calculator'!U46*'Bulk Calculator'!O46/'Bulk Calculator'!J46/'Bulk Calculator'!K46*100),"")</f>
        <v>0</v>
      </c>
      <c r="K516">
        <f>IFERROR(G516*B516*'Bulk Calculator'!J46/SQRT('Bulk Calculator'!S46)/1000,"")</f>
        <v>7.9939430195617485</v>
      </c>
      <c r="L516">
        <f>IF(OR('Bulk Calculator'!R46="",'Bulk Calculator'!S46="",G516=""),0,IF(K516&gt;='Bulk Calculator'!R46,1,0))</f>
        <v>1</v>
      </c>
      <c r="M516">
        <f>IF(AND(H516=1,I516&lt;='OS-DORAEN'!$B$6,J516&lt;='OS-DORAEN'!$B$5,L516=1),1,0)</f>
        <v>1</v>
      </c>
      <c r="N516" t="str">
        <f t="shared" si="8"/>
        <v>R/X</v>
      </c>
    </row>
    <row r="517" spans="1:14" ht="15" customHeight="1" x14ac:dyDescent="0.35">
      <c r="A517">
        <v>46</v>
      </c>
      <c r="B517">
        <v>16</v>
      </c>
      <c r="C517">
        <f>IFERROR(SUMIFS('Cable Data Master'!$G:$G,'Cable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Master'!$F:$F,B517),"")</f>
        <v>0</v>
      </c>
      <c r="D517">
        <f>IFERROR(SUMIFS('Cable Data Master'!$K:$K,'Cable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Master'!$F:$F,B517),"")</f>
        <v>0</v>
      </c>
      <c r="E517">
        <f>IFERROR(SUMIFS('Cable Data Master'!$H:$H,'Cable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Master'!$F:$F,B517),"")</f>
        <v>0</v>
      </c>
      <c r="F517">
        <f>IFERROR(SUMIFS('Cable Data Master'!$I:$I,'Cable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Master'!$F:$F,B517),"")</f>
        <v>0</v>
      </c>
      <c r="G517">
        <f>IFERROR(SUMIFS('Cable Data Master'!$J:$J,'Cable Data Master'!$A:$A,'Bulk Calculator'!$BF46,'Cable Data Master'!$B:$B,'Bulk Calculator'!$BG46,'Cable Data Master'!$C:$C,'Bulk Calculator'!$BH46,'Cable Data Master'!$D:$D,'Bulk Calculator'!$BI46,'Cable Data Master'!$E:$E,'Bulk Calculator'!$BJ46,'Cable Data Master'!$F:$F,B517),"")</f>
        <v>0</v>
      </c>
      <c r="H517">
        <f>IF(AND(ISNUMBER(C517),C517&gt;='Bulk Calculator'!U46/('Bulk Calculator'!J46*'Bulk Calculator'!L46)),1,0)</f>
        <v>1</v>
      </c>
      <c r="I517">
        <f>IFERROR(IF(AND(ISNUMBER(E517),ISNUMBER(F517),E517&gt;0,F517&gt;0),SQRT(3)*'Bulk Calculator'!O46*'Bulk Calculator'!AA46*((E517*'Bulk Calculator'!Q46)+(F517*SQRT(1-'Bulk Calculator'!Q46^2)))/'Bulk Calculator'!J46/'Bulk Calculator'!K46*100,D517*'Bulk Calculator'!AA46*'Bulk Calculator'!O46/'Bulk Calculator'!J46/'Bulk Calculator'!K46*100),"")</f>
        <v>0</v>
      </c>
      <c r="J517">
        <f>IFERROR(IF(AND(ISNUMBER(E517),ISNUMBER(F517),E517&gt;0,F517&gt;0),SQRT(3)*'Bulk Calculator'!O46*'Bulk Calculator'!U46*((E517*'Bulk Calculator'!M46)+(F517*SQRT(1-'Bulk Calculator'!M46^2)))/'Bulk Calculator'!J46/'Bulk Calculator'!K46*100,D517*'Bulk Calculator'!U46*'Bulk Calculator'!O46/'Bulk Calculator'!J46/'Bulk Calculator'!K46*100),"")</f>
        <v>0</v>
      </c>
      <c r="K517">
        <f>IFERROR(G517*B517*'Bulk Calculator'!J46/SQRT('Bulk Calculator'!S46)/1000,"")</f>
        <v>0</v>
      </c>
      <c r="L517">
        <f>IF(OR('Bulk Calculator'!R46="",'Bulk Calculator'!S46="",G517=""),0,IF(K517&gt;='Bulk Calculator'!R46,1,0))</f>
        <v>1</v>
      </c>
      <c r="M517">
        <f>IF(AND(H517=1,I517&lt;='OS-DORAEN'!$B$6,J517&lt;='OS-DORAEN'!$B$5,L517=1),1,0)</f>
        <v>1</v>
      </c>
      <c r="N517" t="str">
        <f t="shared" si="8"/>
        <v>Manufacturer VD Ref</v>
      </c>
    </row>
    <row r="518" spans="1:14" ht="15" customHeight="1" x14ac:dyDescent="0.35">
      <c r="A518">
        <v>47</v>
      </c>
      <c r="B518">
        <v>400</v>
      </c>
      <c r="C518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Master'!$F:$F,B518),"")</f>
        <v>530</v>
      </c>
      <c r="D518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Master'!$F:$F,B518),"")</f>
        <v>0.1023</v>
      </c>
      <c r="E518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Master'!$F:$F,B518),"")</f>
        <v>0.1023</v>
      </c>
      <c r="F518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Master'!$F:$F,B518),"")</f>
        <v>7.0000000000000007E-2</v>
      </c>
      <c r="G518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Master'!$F:$F,B518),"")</f>
        <v>143</v>
      </c>
      <c r="H518">
        <f>IF(AND(ISNUMBER(C518),C518&gt;='Bulk Calculator'!U47/('Bulk Calculator'!J47*'Bulk Calculator'!L47)),1,0)</f>
        <v>1</v>
      </c>
      <c r="I518">
        <f>IFERROR(IF(AND(ISNUMBER(E518),ISNUMBER(F518),E518&gt;0,F518&gt;0),SQRT(3)*'Bulk Calculator'!O47*'Bulk Calculator'!AA47*((E518*'Bulk Calculator'!Q47)+(F518*SQRT(1-'Bulk Calculator'!Q47^2)))/'Bulk Calculator'!J47/'Bulk Calculator'!K47*100,D518*'Bulk Calculator'!AA47*'Bulk Calculator'!O47/'Bulk Calculator'!J47/'Bulk Calculator'!K47*100),"")</f>
        <v>0</v>
      </c>
      <c r="J518">
        <f>IFERROR(IF(AND(ISNUMBER(E518),ISNUMBER(F518),E518&gt;0,F518&gt;0),SQRT(3)*'Bulk Calculator'!O47*'Bulk Calculator'!U47*((E518*'Bulk Calculator'!M47)+(F518*SQRT(1-'Bulk Calculator'!M47^2)))/'Bulk Calculator'!J47/'Bulk Calculator'!K47*100,D518*'Bulk Calculator'!U47*'Bulk Calculator'!O47/'Bulk Calculator'!J47/'Bulk Calculator'!K47*100),"")</f>
        <v>0</v>
      </c>
      <c r="K518">
        <f>IFERROR(G518*B518*'Bulk Calculator'!J47/SQRT('Bulk Calculator'!S47)/1000,"")</f>
        <v>127.90308831298798</v>
      </c>
      <c r="L518">
        <f>IF(OR('Bulk Calculator'!R47="",'Bulk Calculator'!S47="",G518=""),0,IF(K518&gt;='Bulk Calculator'!R47,1,0))</f>
        <v>1</v>
      </c>
      <c r="M518">
        <f>IF(AND(H518=1,I518&lt;='OS-DORAEN'!$B$6,J518&lt;='OS-DORAEN'!$B$5,L518=1),1,0)</f>
        <v>1</v>
      </c>
      <c r="N518" t="str">
        <f t="shared" si="8"/>
        <v>R/X</v>
      </c>
    </row>
    <row r="519" spans="1:14" ht="15" customHeight="1" x14ac:dyDescent="0.35">
      <c r="A519">
        <v>47</v>
      </c>
      <c r="B519">
        <v>300</v>
      </c>
      <c r="C519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Master'!$F:$F,B519),"")</f>
        <v>455</v>
      </c>
      <c r="D519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Master'!$F:$F,B519),"")</f>
        <v>0.13</v>
      </c>
      <c r="E519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Master'!$F:$F,B519),"")</f>
        <v>0.13</v>
      </c>
      <c r="F519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Master'!$F:$F,B519),"")</f>
        <v>7.0999999999999994E-2</v>
      </c>
      <c r="G519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Master'!$F:$F,B519),"")</f>
        <v>143</v>
      </c>
      <c r="H519">
        <f>IF(AND(ISNUMBER(C519),C519&gt;='Bulk Calculator'!U47/('Bulk Calculator'!J47*'Bulk Calculator'!L47)),1,0)</f>
        <v>1</v>
      </c>
      <c r="I519">
        <f>IFERROR(IF(AND(ISNUMBER(E519),ISNUMBER(F519),E519&gt;0,F519&gt;0),SQRT(3)*'Bulk Calculator'!O47*'Bulk Calculator'!AA47*((E519*'Bulk Calculator'!Q47)+(F519*SQRT(1-'Bulk Calculator'!Q47^2)))/'Bulk Calculator'!J47/'Bulk Calculator'!K47*100,D519*'Bulk Calculator'!AA47*'Bulk Calculator'!O47/'Bulk Calculator'!J47/'Bulk Calculator'!K47*100),"")</f>
        <v>0</v>
      </c>
      <c r="J519">
        <f>IFERROR(IF(AND(ISNUMBER(E519),ISNUMBER(F519),E519&gt;0,F519&gt;0),SQRT(3)*'Bulk Calculator'!O47*'Bulk Calculator'!U47*((E519*'Bulk Calculator'!M47)+(F519*SQRT(1-'Bulk Calculator'!M47^2)))/'Bulk Calculator'!J47/'Bulk Calculator'!K47*100,D519*'Bulk Calculator'!U47*'Bulk Calculator'!O47/'Bulk Calculator'!J47/'Bulk Calculator'!K47*100),"")</f>
        <v>0</v>
      </c>
      <c r="K519">
        <f>IFERROR(G519*B519*'Bulk Calculator'!J47/SQRT('Bulk Calculator'!S47)/1000,"")</f>
        <v>95.927316234740985</v>
      </c>
      <c r="L519">
        <f>IF(OR('Bulk Calculator'!R47="",'Bulk Calculator'!S47="",G519=""),0,IF(K519&gt;='Bulk Calculator'!R47,1,0))</f>
        <v>1</v>
      </c>
      <c r="M519">
        <f>IF(AND(H519=1,I519&lt;='OS-DORAEN'!$B$6,J519&lt;='OS-DORAEN'!$B$5,L519=1),1,0)</f>
        <v>1</v>
      </c>
      <c r="N519" t="str">
        <f t="shared" si="8"/>
        <v>R/X</v>
      </c>
    </row>
    <row r="520" spans="1:14" ht="15" customHeight="1" x14ac:dyDescent="0.35">
      <c r="A520">
        <v>47</v>
      </c>
      <c r="B520">
        <v>240</v>
      </c>
      <c r="C520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Master'!$F:$F,B520),"")</f>
        <v>399</v>
      </c>
      <c r="D520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Master'!$F:$F,B520),"")</f>
        <v>0.16200000000000001</v>
      </c>
      <c r="E520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Master'!$F:$F,B520),"")</f>
        <v>0.16200000000000001</v>
      </c>
      <c r="F520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Master'!$F:$F,B520),"")</f>
        <v>7.1999999999999995E-2</v>
      </c>
      <c r="G520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Master'!$F:$F,B520),"")</f>
        <v>143</v>
      </c>
      <c r="H520">
        <f>IF(AND(ISNUMBER(C520),C520&gt;='Bulk Calculator'!U47/('Bulk Calculator'!J47*'Bulk Calculator'!L47)),1,0)</f>
        <v>1</v>
      </c>
      <c r="I520">
        <f>IFERROR(IF(AND(ISNUMBER(E520),ISNUMBER(F520),E520&gt;0,F520&gt;0),SQRT(3)*'Bulk Calculator'!O47*'Bulk Calculator'!AA47*((E520*'Bulk Calculator'!Q47)+(F520*SQRT(1-'Bulk Calculator'!Q47^2)))/'Bulk Calculator'!J47/'Bulk Calculator'!K47*100,D520*'Bulk Calculator'!AA47*'Bulk Calculator'!O47/'Bulk Calculator'!J47/'Bulk Calculator'!K47*100),"")</f>
        <v>0</v>
      </c>
      <c r="J520">
        <f>IFERROR(IF(AND(ISNUMBER(E520),ISNUMBER(F520),E520&gt;0,F520&gt;0),SQRT(3)*'Bulk Calculator'!O47*'Bulk Calculator'!U47*((E520*'Bulk Calculator'!M47)+(F520*SQRT(1-'Bulk Calculator'!M47^2)))/'Bulk Calculator'!J47/'Bulk Calculator'!K47*100,D520*'Bulk Calculator'!U47*'Bulk Calculator'!O47/'Bulk Calculator'!J47/'Bulk Calculator'!K47*100),"")</f>
        <v>0</v>
      </c>
      <c r="K520">
        <f>IFERROR(G520*B520*'Bulk Calculator'!J47/SQRT('Bulk Calculator'!S47)/1000,"")</f>
        <v>76.741852987792782</v>
      </c>
      <c r="L520">
        <f>IF(OR('Bulk Calculator'!R47="",'Bulk Calculator'!S47="",G520=""),0,IF(K520&gt;='Bulk Calculator'!R47,1,0))</f>
        <v>1</v>
      </c>
      <c r="M520">
        <f>IF(AND(H520=1,I520&lt;='OS-DORAEN'!$B$6,J520&lt;='OS-DORAEN'!$B$5,L520=1),1,0)</f>
        <v>1</v>
      </c>
      <c r="N520" t="str">
        <f t="shared" si="8"/>
        <v>R/X</v>
      </c>
    </row>
    <row r="521" spans="1:14" ht="15" customHeight="1" x14ac:dyDescent="0.35">
      <c r="A521">
        <v>47</v>
      </c>
      <c r="B521">
        <v>185</v>
      </c>
      <c r="C521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Master'!$F:$F,B521),"")</f>
        <v>337</v>
      </c>
      <c r="D521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Master'!$F:$F,B521),"")</f>
        <v>0.21099999999999999</v>
      </c>
      <c r="E521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Master'!$F:$F,B521),"")</f>
        <v>0.21099999999999999</v>
      </c>
      <c r="F521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Master'!$F:$F,B521),"")</f>
        <v>7.1999999999999995E-2</v>
      </c>
      <c r="G521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Master'!$F:$F,B521),"")</f>
        <v>143</v>
      </c>
      <c r="H521">
        <f>IF(AND(ISNUMBER(C521),C521&gt;='Bulk Calculator'!U47/('Bulk Calculator'!J47*'Bulk Calculator'!L47)),1,0)</f>
        <v>1</v>
      </c>
      <c r="I521">
        <f>IFERROR(IF(AND(ISNUMBER(E521),ISNUMBER(F521),E521&gt;0,F521&gt;0),SQRT(3)*'Bulk Calculator'!O47*'Bulk Calculator'!AA47*((E521*'Bulk Calculator'!Q47)+(F521*SQRT(1-'Bulk Calculator'!Q47^2)))/'Bulk Calculator'!J47/'Bulk Calculator'!K47*100,D521*'Bulk Calculator'!AA47*'Bulk Calculator'!O47/'Bulk Calculator'!J47/'Bulk Calculator'!K47*100),"")</f>
        <v>0</v>
      </c>
      <c r="J521">
        <f>IFERROR(IF(AND(ISNUMBER(E521),ISNUMBER(F521),E521&gt;0,F521&gt;0),SQRT(3)*'Bulk Calculator'!O47*'Bulk Calculator'!U47*((E521*'Bulk Calculator'!M47)+(F521*SQRT(1-'Bulk Calculator'!M47^2)))/'Bulk Calculator'!J47/'Bulk Calculator'!K47*100,D521*'Bulk Calculator'!U47*'Bulk Calculator'!O47/'Bulk Calculator'!J47/'Bulk Calculator'!K47*100),"")</f>
        <v>0</v>
      </c>
      <c r="K521">
        <f>IFERROR(G521*B521*'Bulk Calculator'!J47/SQRT('Bulk Calculator'!S47)/1000,"")</f>
        <v>59.155178344756941</v>
      </c>
      <c r="L521">
        <f>IF(OR('Bulk Calculator'!R47="",'Bulk Calculator'!S47="",G521=""),0,IF(K521&gt;='Bulk Calculator'!R47,1,0))</f>
        <v>1</v>
      </c>
      <c r="M521">
        <f>IF(AND(H521=1,I521&lt;='OS-DORAEN'!$B$6,J521&lt;='OS-DORAEN'!$B$5,L521=1),1,0)</f>
        <v>1</v>
      </c>
      <c r="N521" t="str">
        <f t="shared" si="8"/>
        <v>R/X</v>
      </c>
    </row>
    <row r="522" spans="1:14" ht="15" customHeight="1" x14ac:dyDescent="0.35">
      <c r="A522">
        <v>47</v>
      </c>
      <c r="B522">
        <v>150</v>
      </c>
      <c r="C522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Master'!$F:$F,B522),"")</f>
        <v>292</v>
      </c>
      <c r="D522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Master'!$F:$F,B522),"")</f>
        <v>0.26500000000000001</v>
      </c>
      <c r="E522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Master'!$F:$F,B522),"")</f>
        <v>0.26500000000000001</v>
      </c>
      <c r="F522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Master'!$F:$F,B522),"")</f>
        <v>7.1999999999999995E-2</v>
      </c>
      <c r="G522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Master'!$F:$F,B522),"")</f>
        <v>143</v>
      </c>
      <c r="H522">
        <f>IF(AND(ISNUMBER(C522),C522&gt;='Bulk Calculator'!U47/('Bulk Calculator'!J47*'Bulk Calculator'!L47)),1,0)</f>
        <v>1</v>
      </c>
      <c r="I522">
        <f>IFERROR(IF(AND(ISNUMBER(E522),ISNUMBER(F522),E522&gt;0,F522&gt;0),SQRT(3)*'Bulk Calculator'!O47*'Bulk Calculator'!AA47*((E522*'Bulk Calculator'!Q47)+(F522*SQRT(1-'Bulk Calculator'!Q47^2)))/'Bulk Calculator'!J47/'Bulk Calculator'!K47*100,D522*'Bulk Calculator'!AA47*'Bulk Calculator'!O47/'Bulk Calculator'!J47/'Bulk Calculator'!K47*100),"")</f>
        <v>0</v>
      </c>
      <c r="J522">
        <f>IFERROR(IF(AND(ISNUMBER(E522),ISNUMBER(F522),E522&gt;0,F522&gt;0),SQRT(3)*'Bulk Calculator'!O47*'Bulk Calculator'!U47*((E522*'Bulk Calculator'!M47)+(F522*SQRT(1-'Bulk Calculator'!M47^2)))/'Bulk Calculator'!J47/'Bulk Calculator'!K47*100,D522*'Bulk Calculator'!U47*'Bulk Calculator'!O47/'Bulk Calculator'!J47/'Bulk Calculator'!K47*100),"")</f>
        <v>0</v>
      </c>
      <c r="K522">
        <f>IFERROR(G522*B522*'Bulk Calculator'!J47/SQRT('Bulk Calculator'!S47)/1000,"")</f>
        <v>47.963658117370493</v>
      </c>
      <c r="L522">
        <f>IF(OR('Bulk Calculator'!R47="",'Bulk Calculator'!S47="",G522=""),0,IF(K522&gt;='Bulk Calculator'!R47,1,0))</f>
        <v>1</v>
      </c>
      <c r="M522">
        <f>IF(AND(H522=1,I522&lt;='OS-DORAEN'!$B$6,J522&lt;='OS-DORAEN'!$B$5,L522=1),1,0)</f>
        <v>1</v>
      </c>
      <c r="N522" t="str">
        <f t="shared" si="8"/>
        <v>R/X</v>
      </c>
    </row>
    <row r="523" spans="1:14" ht="15" customHeight="1" x14ac:dyDescent="0.35">
      <c r="A523">
        <v>47</v>
      </c>
      <c r="B523">
        <v>120</v>
      </c>
      <c r="C523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Master'!$F:$F,B523),"")</f>
        <v>257</v>
      </c>
      <c r="D523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Master'!$F:$F,B523),"")</f>
        <v>0.32500000000000001</v>
      </c>
      <c r="E523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Master'!$F:$F,B523),"")</f>
        <v>0.32500000000000001</v>
      </c>
      <c r="F523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Master'!$F:$F,B523),"")</f>
        <v>7.1999999999999995E-2</v>
      </c>
      <c r="G523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Master'!$F:$F,B523),"")</f>
        <v>143</v>
      </c>
      <c r="H523">
        <f>IF(AND(ISNUMBER(C523),C523&gt;='Bulk Calculator'!U47/('Bulk Calculator'!J47*'Bulk Calculator'!L47)),1,0)</f>
        <v>1</v>
      </c>
      <c r="I523">
        <f>IFERROR(IF(AND(ISNUMBER(E523),ISNUMBER(F523),E523&gt;0,F523&gt;0),SQRT(3)*'Bulk Calculator'!O47*'Bulk Calculator'!AA47*((E523*'Bulk Calculator'!Q47)+(F523*SQRT(1-'Bulk Calculator'!Q47^2)))/'Bulk Calculator'!J47/'Bulk Calculator'!K47*100,D523*'Bulk Calculator'!AA47*'Bulk Calculator'!O47/'Bulk Calculator'!J47/'Bulk Calculator'!K47*100),"")</f>
        <v>0</v>
      </c>
      <c r="J523">
        <f>IFERROR(IF(AND(ISNUMBER(E523),ISNUMBER(F523),E523&gt;0,F523&gt;0),SQRT(3)*'Bulk Calculator'!O47*'Bulk Calculator'!U47*((E523*'Bulk Calculator'!M47)+(F523*SQRT(1-'Bulk Calculator'!M47^2)))/'Bulk Calculator'!J47/'Bulk Calculator'!K47*100,D523*'Bulk Calculator'!U47*'Bulk Calculator'!O47/'Bulk Calculator'!J47/'Bulk Calculator'!K47*100),"")</f>
        <v>0</v>
      </c>
      <c r="K523">
        <f>IFERROR(G523*B523*'Bulk Calculator'!J47/SQRT('Bulk Calculator'!S47)/1000,"")</f>
        <v>38.370926493896391</v>
      </c>
      <c r="L523">
        <f>IF(OR('Bulk Calculator'!R47="",'Bulk Calculator'!S47="",G523=""),0,IF(K523&gt;='Bulk Calculator'!R47,1,0))</f>
        <v>1</v>
      </c>
      <c r="M523">
        <f>IF(AND(H523=1,I523&lt;='OS-DORAEN'!$B$6,J523&lt;='OS-DORAEN'!$B$5,L523=1),1,0)</f>
        <v>1</v>
      </c>
      <c r="N523" t="str">
        <f t="shared" si="8"/>
        <v>R/X</v>
      </c>
    </row>
    <row r="524" spans="1:14" ht="15" customHeight="1" x14ac:dyDescent="0.35">
      <c r="A524">
        <v>47</v>
      </c>
      <c r="B524">
        <v>95</v>
      </c>
      <c r="C524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Master'!$F:$F,B524),"")</f>
        <v>221</v>
      </c>
      <c r="D524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Master'!$F:$F,B524),"")</f>
        <v>0.41</v>
      </c>
      <c r="E524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Master'!$F:$F,B524),"")</f>
        <v>0.41</v>
      </c>
      <c r="F524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Master'!$F:$F,B524),"")</f>
        <v>7.3999999999999996E-2</v>
      </c>
      <c r="G524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Master'!$F:$F,B524),"")</f>
        <v>143</v>
      </c>
      <c r="H524">
        <f>IF(AND(ISNUMBER(C524),C524&gt;='Bulk Calculator'!U47/('Bulk Calculator'!J47*'Bulk Calculator'!L47)),1,0)</f>
        <v>1</v>
      </c>
      <c r="I524">
        <f>IFERROR(IF(AND(ISNUMBER(E524),ISNUMBER(F524),E524&gt;0,F524&gt;0),SQRT(3)*'Bulk Calculator'!O47*'Bulk Calculator'!AA47*((E524*'Bulk Calculator'!Q47)+(F524*SQRT(1-'Bulk Calculator'!Q47^2)))/'Bulk Calculator'!J47/'Bulk Calculator'!K47*100,D524*'Bulk Calculator'!AA47*'Bulk Calculator'!O47/'Bulk Calculator'!J47/'Bulk Calculator'!K47*100),"")</f>
        <v>0</v>
      </c>
      <c r="J524">
        <f>IFERROR(IF(AND(ISNUMBER(E524),ISNUMBER(F524),E524&gt;0,F524&gt;0),SQRT(3)*'Bulk Calculator'!O47*'Bulk Calculator'!U47*((E524*'Bulk Calculator'!M47)+(F524*SQRT(1-'Bulk Calculator'!M47^2)))/'Bulk Calculator'!J47/'Bulk Calculator'!K47*100,D524*'Bulk Calculator'!U47*'Bulk Calculator'!O47/'Bulk Calculator'!J47/'Bulk Calculator'!K47*100),"")</f>
        <v>0</v>
      </c>
      <c r="K524">
        <f>IFERROR(G524*B524*'Bulk Calculator'!J47/SQRT('Bulk Calculator'!S47)/1000,"")</f>
        <v>30.376983474334644</v>
      </c>
      <c r="L524">
        <f>IF(OR('Bulk Calculator'!R47="",'Bulk Calculator'!S47="",G524=""),0,IF(K524&gt;='Bulk Calculator'!R47,1,0))</f>
        <v>1</v>
      </c>
      <c r="M524">
        <f>IF(AND(H524=1,I524&lt;='OS-DORAEN'!$B$6,J524&lt;='OS-DORAEN'!$B$5,L524=1),1,0)</f>
        <v>1</v>
      </c>
      <c r="N524" t="str">
        <f t="shared" si="8"/>
        <v>R/X</v>
      </c>
    </row>
    <row r="525" spans="1:14" ht="15" customHeight="1" x14ac:dyDescent="0.35">
      <c r="A525">
        <v>47</v>
      </c>
      <c r="B525">
        <v>70</v>
      </c>
      <c r="C525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Master'!$F:$F,B525),"")</f>
        <v>179</v>
      </c>
      <c r="D525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Master'!$F:$F,B525),"")</f>
        <v>0.56699999999999995</v>
      </c>
      <c r="E525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Master'!$F:$F,B525),"")</f>
        <v>0.56699999999999995</v>
      </c>
      <c r="F525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Master'!$F:$F,B525),"")</f>
        <v>7.6999999999999999E-2</v>
      </c>
      <c r="G525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Master'!$F:$F,B525),"")</f>
        <v>143</v>
      </c>
      <c r="H525">
        <f>IF(AND(ISNUMBER(C525),C525&gt;='Bulk Calculator'!U47/('Bulk Calculator'!J47*'Bulk Calculator'!L47)),1,0)</f>
        <v>1</v>
      </c>
      <c r="I525">
        <f>IFERROR(IF(AND(ISNUMBER(E525),ISNUMBER(F525),E525&gt;0,F525&gt;0),SQRT(3)*'Bulk Calculator'!O47*'Bulk Calculator'!AA47*((E525*'Bulk Calculator'!Q47)+(F525*SQRT(1-'Bulk Calculator'!Q47^2)))/'Bulk Calculator'!J47/'Bulk Calculator'!K47*100,D525*'Bulk Calculator'!AA47*'Bulk Calculator'!O47/'Bulk Calculator'!J47/'Bulk Calculator'!K47*100),"")</f>
        <v>0</v>
      </c>
      <c r="J525">
        <f>IFERROR(IF(AND(ISNUMBER(E525),ISNUMBER(F525),E525&gt;0,F525&gt;0),SQRT(3)*'Bulk Calculator'!O47*'Bulk Calculator'!U47*((E525*'Bulk Calculator'!M47)+(F525*SQRT(1-'Bulk Calculator'!M47^2)))/'Bulk Calculator'!J47/'Bulk Calculator'!K47*100,D525*'Bulk Calculator'!U47*'Bulk Calculator'!O47/'Bulk Calculator'!J47/'Bulk Calculator'!K47*100),"")</f>
        <v>0</v>
      </c>
      <c r="K525">
        <f>IFERROR(G525*B525*'Bulk Calculator'!J47/SQRT('Bulk Calculator'!S47)/1000,"")</f>
        <v>22.383040454772893</v>
      </c>
      <c r="L525">
        <f>IF(OR('Bulk Calculator'!R47="",'Bulk Calculator'!S47="",G525=""),0,IF(K525&gt;='Bulk Calculator'!R47,1,0))</f>
        <v>1</v>
      </c>
      <c r="M525">
        <f>IF(AND(H525=1,I525&lt;='OS-DORAEN'!$B$6,J525&lt;='OS-DORAEN'!$B$5,L525=1),1,0)</f>
        <v>1</v>
      </c>
      <c r="N525" t="str">
        <f t="shared" si="8"/>
        <v>R/X</v>
      </c>
    </row>
    <row r="526" spans="1:14" ht="15" customHeight="1" x14ac:dyDescent="0.35">
      <c r="A526">
        <v>47</v>
      </c>
      <c r="B526">
        <v>50</v>
      </c>
      <c r="C526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Master'!$F:$F,B526),"")</f>
        <v>142</v>
      </c>
      <c r="D526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Master'!$F:$F,B526),"")</f>
        <v>0.82</v>
      </c>
      <c r="E526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Master'!$F:$F,B526),"")</f>
        <v>0.82</v>
      </c>
      <c r="F526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Master'!$F:$F,B526),"")</f>
        <v>7.8E-2</v>
      </c>
      <c r="G526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Master'!$F:$F,B526),"")</f>
        <v>143</v>
      </c>
      <c r="H526">
        <f>IF(AND(ISNUMBER(C526),C526&gt;='Bulk Calculator'!U47/('Bulk Calculator'!J47*'Bulk Calculator'!L47)),1,0)</f>
        <v>1</v>
      </c>
      <c r="I526">
        <f>IFERROR(IF(AND(ISNUMBER(E526),ISNUMBER(F526),E526&gt;0,F526&gt;0),SQRT(3)*'Bulk Calculator'!O47*'Bulk Calculator'!AA47*((E526*'Bulk Calculator'!Q47)+(F526*SQRT(1-'Bulk Calculator'!Q47^2)))/'Bulk Calculator'!J47/'Bulk Calculator'!K47*100,D526*'Bulk Calculator'!AA47*'Bulk Calculator'!O47/'Bulk Calculator'!J47/'Bulk Calculator'!K47*100),"")</f>
        <v>0</v>
      </c>
      <c r="J526">
        <f>IFERROR(IF(AND(ISNUMBER(E526),ISNUMBER(F526),E526&gt;0,F526&gt;0),SQRT(3)*'Bulk Calculator'!O47*'Bulk Calculator'!U47*((E526*'Bulk Calculator'!M47)+(F526*SQRT(1-'Bulk Calculator'!M47^2)))/'Bulk Calculator'!J47/'Bulk Calculator'!K47*100,D526*'Bulk Calculator'!U47*'Bulk Calculator'!O47/'Bulk Calculator'!J47/'Bulk Calculator'!K47*100),"")</f>
        <v>0</v>
      </c>
      <c r="K526">
        <f>IFERROR(G526*B526*'Bulk Calculator'!J47/SQRT('Bulk Calculator'!S47)/1000,"")</f>
        <v>15.987886039123497</v>
      </c>
      <c r="L526">
        <f>IF(OR('Bulk Calculator'!R47="",'Bulk Calculator'!S47="",G526=""),0,IF(K526&gt;='Bulk Calculator'!R47,1,0))</f>
        <v>1</v>
      </c>
      <c r="M526">
        <f>IF(AND(H526=1,I526&lt;='OS-DORAEN'!$B$6,J526&lt;='OS-DORAEN'!$B$5,L526=1),1,0)</f>
        <v>1</v>
      </c>
      <c r="N526" t="str">
        <f t="shared" si="8"/>
        <v>R/X</v>
      </c>
    </row>
    <row r="527" spans="1:14" ht="15" customHeight="1" x14ac:dyDescent="0.35">
      <c r="A527">
        <v>47</v>
      </c>
      <c r="B527">
        <v>35</v>
      </c>
      <c r="C527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Master'!$F:$F,B527),"")</f>
        <v>117</v>
      </c>
      <c r="D527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Master'!$F:$F,B527),"")</f>
        <v>1.1100000000000001</v>
      </c>
      <c r="E527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Master'!$F:$F,B527),"")</f>
        <v>1.1100000000000001</v>
      </c>
      <c r="F527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Master'!$F:$F,B527),"")</f>
        <v>0.08</v>
      </c>
      <c r="G527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Master'!$F:$F,B527),"")</f>
        <v>143</v>
      </c>
      <c r="H527">
        <f>IF(AND(ISNUMBER(C527),C527&gt;='Bulk Calculator'!U47/('Bulk Calculator'!J47*'Bulk Calculator'!L47)),1,0)</f>
        <v>1</v>
      </c>
      <c r="I527">
        <f>IFERROR(IF(AND(ISNUMBER(E527),ISNUMBER(F527),E527&gt;0,F527&gt;0),SQRT(3)*'Bulk Calculator'!O47*'Bulk Calculator'!AA47*((E527*'Bulk Calculator'!Q47)+(F527*SQRT(1-'Bulk Calculator'!Q47^2)))/'Bulk Calculator'!J47/'Bulk Calculator'!K47*100,D527*'Bulk Calculator'!AA47*'Bulk Calculator'!O47/'Bulk Calculator'!J47/'Bulk Calculator'!K47*100),"")</f>
        <v>0</v>
      </c>
      <c r="J527">
        <f>IFERROR(IF(AND(ISNUMBER(E527),ISNUMBER(F527),E527&gt;0,F527&gt;0),SQRT(3)*'Bulk Calculator'!O47*'Bulk Calculator'!U47*((E527*'Bulk Calculator'!M47)+(F527*SQRT(1-'Bulk Calculator'!M47^2)))/'Bulk Calculator'!J47/'Bulk Calculator'!K47*100,D527*'Bulk Calculator'!U47*'Bulk Calculator'!O47/'Bulk Calculator'!J47/'Bulk Calculator'!K47*100),"")</f>
        <v>0</v>
      </c>
      <c r="K527">
        <f>IFERROR(G527*B527*'Bulk Calculator'!J47/SQRT('Bulk Calculator'!S47)/1000,"")</f>
        <v>11.191520227386446</v>
      </c>
      <c r="L527">
        <f>IF(OR('Bulk Calculator'!R47="",'Bulk Calculator'!S47="",G527=""),0,IF(K527&gt;='Bulk Calculator'!R47,1,0))</f>
        <v>1</v>
      </c>
      <c r="M527">
        <f>IF(AND(H527=1,I527&lt;='OS-DORAEN'!$B$6,J527&lt;='OS-DORAEN'!$B$5,L527=1),1,0)</f>
        <v>1</v>
      </c>
      <c r="N527" t="str">
        <f t="shared" si="8"/>
        <v>R/X</v>
      </c>
    </row>
    <row r="528" spans="1:14" ht="15" customHeight="1" x14ac:dyDescent="0.35">
      <c r="A528">
        <v>47</v>
      </c>
      <c r="B528">
        <v>25</v>
      </c>
      <c r="C528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Master'!$F:$F,B528),"")</f>
        <v>96</v>
      </c>
      <c r="D528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Master'!$F:$F,B528),"")</f>
        <v>1.54</v>
      </c>
      <c r="E528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Master'!$F:$F,B528),"")</f>
        <v>1.54</v>
      </c>
      <c r="F528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Master'!$F:$F,B528),"")</f>
        <v>0.08</v>
      </c>
      <c r="G528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Master'!$F:$F,B528),"")</f>
        <v>143</v>
      </c>
      <c r="H528">
        <f>IF(AND(ISNUMBER(C528),C528&gt;='Bulk Calculator'!U47/('Bulk Calculator'!J47*'Bulk Calculator'!L47)),1,0)</f>
        <v>1</v>
      </c>
      <c r="I528">
        <f>IFERROR(IF(AND(ISNUMBER(E528),ISNUMBER(F528),E528&gt;0,F528&gt;0),SQRT(3)*'Bulk Calculator'!O47*'Bulk Calculator'!AA47*((E528*'Bulk Calculator'!Q47)+(F528*SQRT(1-'Bulk Calculator'!Q47^2)))/'Bulk Calculator'!J47/'Bulk Calculator'!K47*100,D528*'Bulk Calculator'!AA47*'Bulk Calculator'!O47/'Bulk Calculator'!J47/'Bulk Calculator'!K47*100),"")</f>
        <v>0</v>
      </c>
      <c r="J528">
        <f>IFERROR(IF(AND(ISNUMBER(E528),ISNUMBER(F528),E528&gt;0,F528&gt;0),SQRT(3)*'Bulk Calculator'!O47*'Bulk Calculator'!U47*((E528*'Bulk Calculator'!M47)+(F528*SQRT(1-'Bulk Calculator'!M47^2)))/'Bulk Calculator'!J47/'Bulk Calculator'!K47*100,D528*'Bulk Calculator'!U47*'Bulk Calculator'!O47/'Bulk Calculator'!J47/'Bulk Calculator'!K47*100),"")</f>
        <v>0</v>
      </c>
      <c r="K528">
        <f>IFERROR(G528*B528*'Bulk Calculator'!J47/SQRT('Bulk Calculator'!S47)/1000,"")</f>
        <v>7.9939430195617485</v>
      </c>
      <c r="L528">
        <f>IF(OR('Bulk Calculator'!R47="",'Bulk Calculator'!S47="",G528=""),0,IF(K528&gt;='Bulk Calculator'!R47,1,0))</f>
        <v>1</v>
      </c>
      <c r="M528">
        <f>IF(AND(H528=1,I528&lt;='OS-DORAEN'!$B$6,J528&lt;='OS-DORAEN'!$B$5,L528=1),1,0)</f>
        <v>1</v>
      </c>
      <c r="N528" t="str">
        <f t="shared" si="8"/>
        <v>R/X</v>
      </c>
    </row>
    <row r="529" spans="1:14" ht="15" customHeight="1" x14ac:dyDescent="0.35">
      <c r="A529">
        <v>47</v>
      </c>
      <c r="B529">
        <v>16</v>
      </c>
      <c r="C529">
        <f>IFERROR(SUMIFS('Cable Data Master'!$G:$G,'Cable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Master'!$F:$F,B529),"")</f>
        <v>0</v>
      </c>
      <c r="D529">
        <f>IFERROR(SUMIFS('Cable Data Master'!$K:$K,'Cable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Master'!$F:$F,B529),"")</f>
        <v>0</v>
      </c>
      <c r="E529">
        <f>IFERROR(SUMIFS('Cable Data Master'!$H:$H,'Cable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Master'!$F:$F,B529),"")</f>
        <v>0</v>
      </c>
      <c r="F529">
        <f>IFERROR(SUMIFS('Cable Data Master'!$I:$I,'Cable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Master'!$F:$F,B529),"")</f>
        <v>0</v>
      </c>
      <c r="G529">
        <f>IFERROR(SUMIFS('Cable Data Master'!$J:$J,'Cable Data Master'!$A:$A,'Bulk Calculator'!$BF47,'Cable Data Master'!$B:$B,'Bulk Calculator'!$BG47,'Cable Data Master'!$C:$C,'Bulk Calculator'!$BH47,'Cable Data Master'!$D:$D,'Bulk Calculator'!$BI47,'Cable Data Master'!$E:$E,'Bulk Calculator'!$BJ47,'Cable Data Master'!$F:$F,B529),"")</f>
        <v>0</v>
      </c>
      <c r="H529">
        <f>IF(AND(ISNUMBER(C529),C529&gt;='Bulk Calculator'!U47/('Bulk Calculator'!J47*'Bulk Calculator'!L47)),1,0)</f>
        <v>1</v>
      </c>
      <c r="I529">
        <f>IFERROR(IF(AND(ISNUMBER(E529),ISNUMBER(F529),E529&gt;0,F529&gt;0),SQRT(3)*'Bulk Calculator'!O47*'Bulk Calculator'!AA47*((E529*'Bulk Calculator'!Q47)+(F529*SQRT(1-'Bulk Calculator'!Q47^2)))/'Bulk Calculator'!J47/'Bulk Calculator'!K47*100,D529*'Bulk Calculator'!AA47*'Bulk Calculator'!O47/'Bulk Calculator'!J47/'Bulk Calculator'!K47*100),"")</f>
        <v>0</v>
      </c>
      <c r="J529">
        <f>IFERROR(IF(AND(ISNUMBER(E529),ISNUMBER(F529),E529&gt;0,F529&gt;0),SQRT(3)*'Bulk Calculator'!O47*'Bulk Calculator'!U47*((E529*'Bulk Calculator'!M47)+(F529*SQRT(1-'Bulk Calculator'!M47^2)))/'Bulk Calculator'!J47/'Bulk Calculator'!K47*100,D529*'Bulk Calculator'!U47*'Bulk Calculator'!O47/'Bulk Calculator'!J47/'Bulk Calculator'!K47*100),"")</f>
        <v>0</v>
      </c>
      <c r="K529">
        <f>IFERROR(G529*B529*'Bulk Calculator'!J47/SQRT('Bulk Calculator'!S47)/1000,"")</f>
        <v>0</v>
      </c>
      <c r="L529">
        <f>IF(OR('Bulk Calculator'!R47="",'Bulk Calculator'!S47="",G529=""),0,IF(K529&gt;='Bulk Calculator'!R47,1,0))</f>
        <v>1</v>
      </c>
      <c r="M529">
        <f>IF(AND(H529=1,I529&lt;='OS-DORAEN'!$B$6,J529&lt;='OS-DORAEN'!$B$5,L529=1),1,0)</f>
        <v>1</v>
      </c>
      <c r="N529" t="str">
        <f t="shared" si="8"/>
        <v>Manufacturer VD Ref</v>
      </c>
    </row>
    <row r="530" spans="1:14" ht="15" customHeight="1" x14ac:dyDescent="0.35">
      <c r="A530">
        <v>48</v>
      </c>
      <c r="B530">
        <v>400</v>
      </c>
      <c r="C530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Master'!$F:$F,B530),"")</f>
        <v>530</v>
      </c>
      <c r="D530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Master'!$F:$F,B530),"")</f>
        <v>0.1023</v>
      </c>
      <c r="E530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Master'!$F:$F,B530),"")</f>
        <v>0.1023</v>
      </c>
      <c r="F530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Master'!$F:$F,B530),"")</f>
        <v>7.0000000000000007E-2</v>
      </c>
      <c r="G530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Master'!$F:$F,B530),"")</f>
        <v>143</v>
      </c>
      <c r="H530">
        <f>IF(AND(ISNUMBER(C530),C530&gt;='Bulk Calculator'!U48/('Bulk Calculator'!J48*'Bulk Calculator'!L48)),1,0)</f>
        <v>1</v>
      </c>
      <c r="I530">
        <f>IFERROR(IF(AND(ISNUMBER(E530),ISNUMBER(F530),E530&gt;0,F530&gt;0),SQRT(3)*'Bulk Calculator'!O48*'Bulk Calculator'!AA48*((E530*'Bulk Calculator'!Q48)+(F530*SQRT(1-'Bulk Calculator'!Q48^2)))/'Bulk Calculator'!J48/'Bulk Calculator'!K48*100,D530*'Bulk Calculator'!AA48*'Bulk Calculator'!O48/'Bulk Calculator'!J48/'Bulk Calculator'!K48*100),"")</f>
        <v>0</v>
      </c>
      <c r="J530">
        <f>IFERROR(IF(AND(ISNUMBER(E530),ISNUMBER(F530),E530&gt;0,F530&gt;0),SQRT(3)*'Bulk Calculator'!O48*'Bulk Calculator'!U48*((E530*'Bulk Calculator'!M48)+(F530*SQRT(1-'Bulk Calculator'!M48^2)))/'Bulk Calculator'!J48/'Bulk Calculator'!K48*100,D530*'Bulk Calculator'!U48*'Bulk Calculator'!O48/'Bulk Calculator'!J48/'Bulk Calculator'!K48*100),"")</f>
        <v>0</v>
      </c>
      <c r="K530">
        <f>IFERROR(G530*B530*'Bulk Calculator'!J48/SQRT('Bulk Calculator'!S48)/1000,"")</f>
        <v>127.90308831298798</v>
      </c>
      <c r="L530">
        <f>IF(OR('Bulk Calculator'!R48="",'Bulk Calculator'!S48="",G530=""),0,IF(K530&gt;='Bulk Calculator'!R48,1,0))</f>
        <v>1</v>
      </c>
      <c r="M530">
        <f>IF(AND(H530=1,I530&lt;='OS-DORAEN'!$B$6,J530&lt;='OS-DORAEN'!$B$5,L530=1),1,0)</f>
        <v>1</v>
      </c>
      <c r="N530" t="str">
        <f t="shared" si="8"/>
        <v>R/X</v>
      </c>
    </row>
    <row r="531" spans="1:14" ht="15" customHeight="1" x14ac:dyDescent="0.35">
      <c r="A531">
        <v>48</v>
      </c>
      <c r="B531">
        <v>300</v>
      </c>
      <c r="C531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Master'!$F:$F,B531),"")</f>
        <v>455</v>
      </c>
      <c r="D531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Master'!$F:$F,B531),"")</f>
        <v>0.13</v>
      </c>
      <c r="E531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Master'!$F:$F,B531),"")</f>
        <v>0.13</v>
      </c>
      <c r="F531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Master'!$F:$F,B531),"")</f>
        <v>7.0999999999999994E-2</v>
      </c>
      <c r="G531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Master'!$F:$F,B531),"")</f>
        <v>143</v>
      </c>
      <c r="H531">
        <f>IF(AND(ISNUMBER(C531),C531&gt;='Bulk Calculator'!U48/('Bulk Calculator'!J48*'Bulk Calculator'!L48)),1,0)</f>
        <v>1</v>
      </c>
      <c r="I531">
        <f>IFERROR(IF(AND(ISNUMBER(E531),ISNUMBER(F531),E531&gt;0,F531&gt;0),SQRT(3)*'Bulk Calculator'!O48*'Bulk Calculator'!AA48*((E531*'Bulk Calculator'!Q48)+(F531*SQRT(1-'Bulk Calculator'!Q48^2)))/'Bulk Calculator'!J48/'Bulk Calculator'!K48*100,D531*'Bulk Calculator'!AA48*'Bulk Calculator'!O48/'Bulk Calculator'!J48/'Bulk Calculator'!K48*100),"")</f>
        <v>0</v>
      </c>
      <c r="J531">
        <f>IFERROR(IF(AND(ISNUMBER(E531),ISNUMBER(F531),E531&gt;0,F531&gt;0),SQRT(3)*'Bulk Calculator'!O48*'Bulk Calculator'!U48*((E531*'Bulk Calculator'!M48)+(F531*SQRT(1-'Bulk Calculator'!M48^2)))/'Bulk Calculator'!J48/'Bulk Calculator'!K48*100,D531*'Bulk Calculator'!U48*'Bulk Calculator'!O48/'Bulk Calculator'!J48/'Bulk Calculator'!K48*100),"")</f>
        <v>0</v>
      </c>
      <c r="K531">
        <f>IFERROR(G531*B531*'Bulk Calculator'!J48/SQRT('Bulk Calculator'!S48)/1000,"")</f>
        <v>95.927316234740985</v>
      </c>
      <c r="L531">
        <f>IF(OR('Bulk Calculator'!R48="",'Bulk Calculator'!S48="",G531=""),0,IF(K531&gt;='Bulk Calculator'!R48,1,0))</f>
        <v>1</v>
      </c>
      <c r="M531">
        <f>IF(AND(H531=1,I531&lt;='OS-DORAEN'!$B$6,J531&lt;='OS-DORAEN'!$B$5,L531=1),1,0)</f>
        <v>1</v>
      </c>
      <c r="N531" t="str">
        <f t="shared" si="8"/>
        <v>R/X</v>
      </c>
    </row>
    <row r="532" spans="1:14" ht="15" customHeight="1" x14ac:dyDescent="0.35">
      <c r="A532">
        <v>48</v>
      </c>
      <c r="B532">
        <v>240</v>
      </c>
      <c r="C532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Master'!$F:$F,B532),"")</f>
        <v>399</v>
      </c>
      <c r="D532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Master'!$F:$F,B532),"")</f>
        <v>0.16200000000000001</v>
      </c>
      <c r="E532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Master'!$F:$F,B532),"")</f>
        <v>0.16200000000000001</v>
      </c>
      <c r="F532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Master'!$F:$F,B532),"")</f>
        <v>7.1999999999999995E-2</v>
      </c>
      <c r="G532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Master'!$F:$F,B532),"")</f>
        <v>143</v>
      </c>
      <c r="H532">
        <f>IF(AND(ISNUMBER(C532),C532&gt;='Bulk Calculator'!U48/('Bulk Calculator'!J48*'Bulk Calculator'!L48)),1,0)</f>
        <v>1</v>
      </c>
      <c r="I532">
        <f>IFERROR(IF(AND(ISNUMBER(E532),ISNUMBER(F532),E532&gt;0,F532&gt;0),SQRT(3)*'Bulk Calculator'!O48*'Bulk Calculator'!AA48*((E532*'Bulk Calculator'!Q48)+(F532*SQRT(1-'Bulk Calculator'!Q48^2)))/'Bulk Calculator'!J48/'Bulk Calculator'!K48*100,D532*'Bulk Calculator'!AA48*'Bulk Calculator'!O48/'Bulk Calculator'!J48/'Bulk Calculator'!K48*100),"")</f>
        <v>0</v>
      </c>
      <c r="J532">
        <f>IFERROR(IF(AND(ISNUMBER(E532),ISNUMBER(F532),E532&gt;0,F532&gt;0),SQRT(3)*'Bulk Calculator'!O48*'Bulk Calculator'!U48*((E532*'Bulk Calculator'!M48)+(F532*SQRT(1-'Bulk Calculator'!M48^2)))/'Bulk Calculator'!J48/'Bulk Calculator'!K48*100,D532*'Bulk Calculator'!U48*'Bulk Calculator'!O48/'Bulk Calculator'!J48/'Bulk Calculator'!K48*100),"")</f>
        <v>0</v>
      </c>
      <c r="K532">
        <f>IFERROR(G532*B532*'Bulk Calculator'!J48/SQRT('Bulk Calculator'!S48)/1000,"")</f>
        <v>76.741852987792782</v>
      </c>
      <c r="L532">
        <f>IF(OR('Bulk Calculator'!R48="",'Bulk Calculator'!S48="",G532=""),0,IF(K532&gt;='Bulk Calculator'!R48,1,0))</f>
        <v>1</v>
      </c>
      <c r="M532">
        <f>IF(AND(H532=1,I532&lt;='OS-DORAEN'!$B$6,J532&lt;='OS-DORAEN'!$B$5,L532=1),1,0)</f>
        <v>1</v>
      </c>
      <c r="N532" t="str">
        <f t="shared" si="8"/>
        <v>R/X</v>
      </c>
    </row>
    <row r="533" spans="1:14" ht="15" customHeight="1" x14ac:dyDescent="0.35">
      <c r="A533">
        <v>48</v>
      </c>
      <c r="B533">
        <v>185</v>
      </c>
      <c r="C533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Master'!$F:$F,B533),"")</f>
        <v>337</v>
      </c>
      <c r="D533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Master'!$F:$F,B533),"")</f>
        <v>0.21099999999999999</v>
      </c>
      <c r="E533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Master'!$F:$F,B533),"")</f>
        <v>0.21099999999999999</v>
      </c>
      <c r="F533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Master'!$F:$F,B533),"")</f>
        <v>7.1999999999999995E-2</v>
      </c>
      <c r="G533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Master'!$F:$F,B533),"")</f>
        <v>143</v>
      </c>
      <c r="H533">
        <f>IF(AND(ISNUMBER(C533),C533&gt;='Bulk Calculator'!U48/('Bulk Calculator'!J48*'Bulk Calculator'!L48)),1,0)</f>
        <v>1</v>
      </c>
      <c r="I533">
        <f>IFERROR(IF(AND(ISNUMBER(E533),ISNUMBER(F533),E533&gt;0,F533&gt;0),SQRT(3)*'Bulk Calculator'!O48*'Bulk Calculator'!AA48*((E533*'Bulk Calculator'!Q48)+(F533*SQRT(1-'Bulk Calculator'!Q48^2)))/'Bulk Calculator'!J48/'Bulk Calculator'!K48*100,D533*'Bulk Calculator'!AA48*'Bulk Calculator'!O48/'Bulk Calculator'!J48/'Bulk Calculator'!K48*100),"")</f>
        <v>0</v>
      </c>
      <c r="J533">
        <f>IFERROR(IF(AND(ISNUMBER(E533),ISNUMBER(F533),E533&gt;0,F533&gt;0),SQRT(3)*'Bulk Calculator'!O48*'Bulk Calculator'!U48*((E533*'Bulk Calculator'!M48)+(F533*SQRT(1-'Bulk Calculator'!M48^2)))/'Bulk Calculator'!J48/'Bulk Calculator'!K48*100,D533*'Bulk Calculator'!U48*'Bulk Calculator'!O48/'Bulk Calculator'!J48/'Bulk Calculator'!K48*100),"")</f>
        <v>0</v>
      </c>
      <c r="K533">
        <f>IFERROR(G533*B533*'Bulk Calculator'!J48/SQRT('Bulk Calculator'!S48)/1000,"")</f>
        <v>59.155178344756941</v>
      </c>
      <c r="L533">
        <f>IF(OR('Bulk Calculator'!R48="",'Bulk Calculator'!S48="",G533=""),0,IF(K533&gt;='Bulk Calculator'!R48,1,0))</f>
        <v>1</v>
      </c>
      <c r="M533">
        <f>IF(AND(H533=1,I533&lt;='OS-DORAEN'!$B$6,J533&lt;='OS-DORAEN'!$B$5,L533=1),1,0)</f>
        <v>1</v>
      </c>
      <c r="N533" t="str">
        <f t="shared" si="8"/>
        <v>R/X</v>
      </c>
    </row>
    <row r="534" spans="1:14" ht="15" customHeight="1" x14ac:dyDescent="0.35">
      <c r="A534">
        <v>48</v>
      </c>
      <c r="B534">
        <v>150</v>
      </c>
      <c r="C534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Master'!$F:$F,B534),"")</f>
        <v>292</v>
      </c>
      <c r="D534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Master'!$F:$F,B534),"")</f>
        <v>0.26500000000000001</v>
      </c>
      <c r="E534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Master'!$F:$F,B534),"")</f>
        <v>0.26500000000000001</v>
      </c>
      <c r="F534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Master'!$F:$F,B534),"")</f>
        <v>7.1999999999999995E-2</v>
      </c>
      <c r="G534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Master'!$F:$F,B534),"")</f>
        <v>143</v>
      </c>
      <c r="H534">
        <f>IF(AND(ISNUMBER(C534),C534&gt;='Bulk Calculator'!U48/('Bulk Calculator'!J48*'Bulk Calculator'!L48)),1,0)</f>
        <v>1</v>
      </c>
      <c r="I534">
        <f>IFERROR(IF(AND(ISNUMBER(E534),ISNUMBER(F534),E534&gt;0,F534&gt;0),SQRT(3)*'Bulk Calculator'!O48*'Bulk Calculator'!AA48*((E534*'Bulk Calculator'!Q48)+(F534*SQRT(1-'Bulk Calculator'!Q48^2)))/'Bulk Calculator'!J48/'Bulk Calculator'!K48*100,D534*'Bulk Calculator'!AA48*'Bulk Calculator'!O48/'Bulk Calculator'!J48/'Bulk Calculator'!K48*100),"")</f>
        <v>0</v>
      </c>
      <c r="J534">
        <f>IFERROR(IF(AND(ISNUMBER(E534),ISNUMBER(F534),E534&gt;0,F534&gt;0),SQRT(3)*'Bulk Calculator'!O48*'Bulk Calculator'!U48*((E534*'Bulk Calculator'!M48)+(F534*SQRT(1-'Bulk Calculator'!M48^2)))/'Bulk Calculator'!J48/'Bulk Calculator'!K48*100,D534*'Bulk Calculator'!U48*'Bulk Calculator'!O48/'Bulk Calculator'!J48/'Bulk Calculator'!K48*100),"")</f>
        <v>0</v>
      </c>
      <c r="K534">
        <f>IFERROR(G534*B534*'Bulk Calculator'!J48/SQRT('Bulk Calculator'!S48)/1000,"")</f>
        <v>47.963658117370493</v>
      </c>
      <c r="L534">
        <f>IF(OR('Bulk Calculator'!R48="",'Bulk Calculator'!S48="",G534=""),0,IF(K534&gt;='Bulk Calculator'!R48,1,0))</f>
        <v>1</v>
      </c>
      <c r="M534">
        <f>IF(AND(H534=1,I534&lt;='OS-DORAEN'!$B$6,J534&lt;='OS-DORAEN'!$B$5,L534=1),1,0)</f>
        <v>1</v>
      </c>
      <c r="N534" t="str">
        <f t="shared" si="8"/>
        <v>R/X</v>
      </c>
    </row>
    <row r="535" spans="1:14" ht="15" customHeight="1" x14ac:dyDescent="0.35">
      <c r="A535">
        <v>48</v>
      </c>
      <c r="B535">
        <v>120</v>
      </c>
      <c r="C535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Master'!$F:$F,B535),"")</f>
        <v>257</v>
      </c>
      <c r="D535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Master'!$F:$F,B535),"")</f>
        <v>0.32500000000000001</v>
      </c>
      <c r="E535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Master'!$F:$F,B535),"")</f>
        <v>0.32500000000000001</v>
      </c>
      <c r="F535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Master'!$F:$F,B535),"")</f>
        <v>7.1999999999999995E-2</v>
      </c>
      <c r="G535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Master'!$F:$F,B535),"")</f>
        <v>143</v>
      </c>
      <c r="H535">
        <f>IF(AND(ISNUMBER(C535),C535&gt;='Bulk Calculator'!U48/('Bulk Calculator'!J48*'Bulk Calculator'!L48)),1,0)</f>
        <v>1</v>
      </c>
      <c r="I535">
        <f>IFERROR(IF(AND(ISNUMBER(E535),ISNUMBER(F535),E535&gt;0,F535&gt;0),SQRT(3)*'Bulk Calculator'!O48*'Bulk Calculator'!AA48*((E535*'Bulk Calculator'!Q48)+(F535*SQRT(1-'Bulk Calculator'!Q48^2)))/'Bulk Calculator'!J48/'Bulk Calculator'!K48*100,D535*'Bulk Calculator'!AA48*'Bulk Calculator'!O48/'Bulk Calculator'!J48/'Bulk Calculator'!K48*100),"")</f>
        <v>0</v>
      </c>
      <c r="J535">
        <f>IFERROR(IF(AND(ISNUMBER(E535),ISNUMBER(F535),E535&gt;0,F535&gt;0),SQRT(3)*'Bulk Calculator'!O48*'Bulk Calculator'!U48*((E535*'Bulk Calculator'!M48)+(F535*SQRT(1-'Bulk Calculator'!M48^2)))/'Bulk Calculator'!J48/'Bulk Calculator'!K48*100,D535*'Bulk Calculator'!U48*'Bulk Calculator'!O48/'Bulk Calculator'!J48/'Bulk Calculator'!K48*100),"")</f>
        <v>0</v>
      </c>
      <c r="K535">
        <f>IFERROR(G535*B535*'Bulk Calculator'!J48/SQRT('Bulk Calculator'!S48)/1000,"")</f>
        <v>38.370926493896391</v>
      </c>
      <c r="L535">
        <f>IF(OR('Bulk Calculator'!R48="",'Bulk Calculator'!S48="",G535=""),0,IF(K535&gt;='Bulk Calculator'!R48,1,0))</f>
        <v>1</v>
      </c>
      <c r="M535">
        <f>IF(AND(H535=1,I535&lt;='OS-DORAEN'!$B$6,J535&lt;='OS-DORAEN'!$B$5,L535=1),1,0)</f>
        <v>1</v>
      </c>
      <c r="N535" t="str">
        <f t="shared" si="8"/>
        <v>R/X</v>
      </c>
    </row>
    <row r="536" spans="1:14" ht="15" customHeight="1" x14ac:dyDescent="0.35">
      <c r="A536">
        <v>48</v>
      </c>
      <c r="B536">
        <v>95</v>
      </c>
      <c r="C536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Master'!$F:$F,B536),"")</f>
        <v>221</v>
      </c>
      <c r="D536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Master'!$F:$F,B536),"")</f>
        <v>0.41</v>
      </c>
      <c r="E536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Master'!$F:$F,B536),"")</f>
        <v>0.41</v>
      </c>
      <c r="F536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Master'!$F:$F,B536),"")</f>
        <v>7.3999999999999996E-2</v>
      </c>
      <c r="G536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Master'!$F:$F,B536),"")</f>
        <v>143</v>
      </c>
      <c r="H536">
        <f>IF(AND(ISNUMBER(C536),C536&gt;='Bulk Calculator'!U48/('Bulk Calculator'!J48*'Bulk Calculator'!L48)),1,0)</f>
        <v>1</v>
      </c>
      <c r="I536">
        <f>IFERROR(IF(AND(ISNUMBER(E536),ISNUMBER(F536),E536&gt;0,F536&gt;0),SQRT(3)*'Bulk Calculator'!O48*'Bulk Calculator'!AA48*((E536*'Bulk Calculator'!Q48)+(F536*SQRT(1-'Bulk Calculator'!Q48^2)))/'Bulk Calculator'!J48/'Bulk Calculator'!K48*100,D536*'Bulk Calculator'!AA48*'Bulk Calculator'!O48/'Bulk Calculator'!J48/'Bulk Calculator'!K48*100),"")</f>
        <v>0</v>
      </c>
      <c r="J536">
        <f>IFERROR(IF(AND(ISNUMBER(E536),ISNUMBER(F536),E536&gt;0,F536&gt;0),SQRT(3)*'Bulk Calculator'!O48*'Bulk Calculator'!U48*((E536*'Bulk Calculator'!M48)+(F536*SQRT(1-'Bulk Calculator'!M48^2)))/'Bulk Calculator'!J48/'Bulk Calculator'!K48*100,D536*'Bulk Calculator'!U48*'Bulk Calculator'!O48/'Bulk Calculator'!J48/'Bulk Calculator'!K48*100),"")</f>
        <v>0</v>
      </c>
      <c r="K536">
        <f>IFERROR(G536*B536*'Bulk Calculator'!J48/SQRT('Bulk Calculator'!S48)/1000,"")</f>
        <v>30.376983474334644</v>
      </c>
      <c r="L536">
        <f>IF(OR('Bulk Calculator'!R48="",'Bulk Calculator'!S48="",G536=""),0,IF(K536&gt;='Bulk Calculator'!R48,1,0))</f>
        <v>1</v>
      </c>
      <c r="M536">
        <f>IF(AND(H536=1,I536&lt;='OS-DORAEN'!$B$6,J536&lt;='OS-DORAEN'!$B$5,L536=1),1,0)</f>
        <v>1</v>
      </c>
      <c r="N536" t="str">
        <f t="shared" si="8"/>
        <v>R/X</v>
      </c>
    </row>
    <row r="537" spans="1:14" ht="15" customHeight="1" x14ac:dyDescent="0.35">
      <c r="A537">
        <v>48</v>
      </c>
      <c r="B537">
        <v>70</v>
      </c>
      <c r="C537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Master'!$F:$F,B537),"")</f>
        <v>179</v>
      </c>
      <c r="D537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Master'!$F:$F,B537),"")</f>
        <v>0.56699999999999995</v>
      </c>
      <c r="E537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Master'!$F:$F,B537),"")</f>
        <v>0.56699999999999995</v>
      </c>
      <c r="F537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Master'!$F:$F,B537),"")</f>
        <v>7.6999999999999999E-2</v>
      </c>
      <c r="G537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Master'!$F:$F,B537),"")</f>
        <v>143</v>
      </c>
      <c r="H537">
        <f>IF(AND(ISNUMBER(C537),C537&gt;='Bulk Calculator'!U48/('Bulk Calculator'!J48*'Bulk Calculator'!L48)),1,0)</f>
        <v>1</v>
      </c>
      <c r="I537">
        <f>IFERROR(IF(AND(ISNUMBER(E537),ISNUMBER(F537),E537&gt;0,F537&gt;0),SQRT(3)*'Bulk Calculator'!O48*'Bulk Calculator'!AA48*((E537*'Bulk Calculator'!Q48)+(F537*SQRT(1-'Bulk Calculator'!Q48^2)))/'Bulk Calculator'!J48/'Bulk Calculator'!K48*100,D537*'Bulk Calculator'!AA48*'Bulk Calculator'!O48/'Bulk Calculator'!J48/'Bulk Calculator'!K48*100),"")</f>
        <v>0</v>
      </c>
      <c r="J537">
        <f>IFERROR(IF(AND(ISNUMBER(E537),ISNUMBER(F537),E537&gt;0,F537&gt;0),SQRT(3)*'Bulk Calculator'!O48*'Bulk Calculator'!U48*((E537*'Bulk Calculator'!M48)+(F537*SQRT(1-'Bulk Calculator'!M48^2)))/'Bulk Calculator'!J48/'Bulk Calculator'!K48*100,D537*'Bulk Calculator'!U48*'Bulk Calculator'!O48/'Bulk Calculator'!J48/'Bulk Calculator'!K48*100),"")</f>
        <v>0</v>
      </c>
      <c r="K537">
        <f>IFERROR(G537*B537*'Bulk Calculator'!J48/SQRT('Bulk Calculator'!S48)/1000,"")</f>
        <v>22.383040454772893</v>
      </c>
      <c r="L537">
        <f>IF(OR('Bulk Calculator'!R48="",'Bulk Calculator'!S48="",G537=""),0,IF(K537&gt;='Bulk Calculator'!R48,1,0))</f>
        <v>1</v>
      </c>
      <c r="M537">
        <f>IF(AND(H537=1,I537&lt;='OS-DORAEN'!$B$6,J537&lt;='OS-DORAEN'!$B$5,L537=1),1,0)</f>
        <v>1</v>
      </c>
      <c r="N537" t="str">
        <f t="shared" si="8"/>
        <v>R/X</v>
      </c>
    </row>
    <row r="538" spans="1:14" ht="15" customHeight="1" x14ac:dyDescent="0.35">
      <c r="A538">
        <v>48</v>
      </c>
      <c r="B538">
        <v>50</v>
      </c>
      <c r="C538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Master'!$F:$F,B538),"")</f>
        <v>142</v>
      </c>
      <c r="D538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Master'!$F:$F,B538),"")</f>
        <v>0.82</v>
      </c>
      <c r="E538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Master'!$F:$F,B538),"")</f>
        <v>0.82</v>
      </c>
      <c r="F538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Master'!$F:$F,B538),"")</f>
        <v>7.8E-2</v>
      </c>
      <c r="G538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Master'!$F:$F,B538),"")</f>
        <v>143</v>
      </c>
      <c r="H538">
        <f>IF(AND(ISNUMBER(C538),C538&gt;='Bulk Calculator'!U48/('Bulk Calculator'!J48*'Bulk Calculator'!L48)),1,0)</f>
        <v>1</v>
      </c>
      <c r="I538">
        <f>IFERROR(IF(AND(ISNUMBER(E538),ISNUMBER(F538),E538&gt;0,F538&gt;0),SQRT(3)*'Bulk Calculator'!O48*'Bulk Calculator'!AA48*((E538*'Bulk Calculator'!Q48)+(F538*SQRT(1-'Bulk Calculator'!Q48^2)))/'Bulk Calculator'!J48/'Bulk Calculator'!K48*100,D538*'Bulk Calculator'!AA48*'Bulk Calculator'!O48/'Bulk Calculator'!J48/'Bulk Calculator'!K48*100),"")</f>
        <v>0</v>
      </c>
      <c r="J538">
        <f>IFERROR(IF(AND(ISNUMBER(E538),ISNUMBER(F538),E538&gt;0,F538&gt;0),SQRT(3)*'Bulk Calculator'!O48*'Bulk Calculator'!U48*((E538*'Bulk Calculator'!M48)+(F538*SQRT(1-'Bulk Calculator'!M48^2)))/'Bulk Calculator'!J48/'Bulk Calculator'!K48*100,D538*'Bulk Calculator'!U48*'Bulk Calculator'!O48/'Bulk Calculator'!J48/'Bulk Calculator'!K48*100),"")</f>
        <v>0</v>
      </c>
      <c r="K538">
        <f>IFERROR(G538*B538*'Bulk Calculator'!J48/SQRT('Bulk Calculator'!S48)/1000,"")</f>
        <v>15.987886039123497</v>
      </c>
      <c r="L538">
        <f>IF(OR('Bulk Calculator'!R48="",'Bulk Calculator'!S48="",G538=""),0,IF(K538&gt;='Bulk Calculator'!R48,1,0))</f>
        <v>1</v>
      </c>
      <c r="M538">
        <f>IF(AND(H538=1,I538&lt;='OS-DORAEN'!$B$6,J538&lt;='OS-DORAEN'!$B$5,L538=1),1,0)</f>
        <v>1</v>
      </c>
      <c r="N538" t="str">
        <f t="shared" si="8"/>
        <v>R/X</v>
      </c>
    </row>
    <row r="539" spans="1:14" ht="15" customHeight="1" x14ac:dyDescent="0.35">
      <c r="A539">
        <v>48</v>
      </c>
      <c r="B539">
        <v>35</v>
      </c>
      <c r="C539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Master'!$F:$F,B539),"")</f>
        <v>117</v>
      </c>
      <c r="D539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Master'!$F:$F,B539),"")</f>
        <v>1.1100000000000001</v>
      </c>
      <c r="E539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Master'!$F:$F,B539),"")</f>
        <v>1.1100000000000001</v>
      </c>
      <c r="F539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Master'!$F:$F,B539),"")</f>
        <v>0.08</v>
      </c>
      <c r="G539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Master'!$F:$F,B539),"")</f>
        <v>143</v>
      </c>
      <c r="H539">
        <f>IF(AND(ISNUMBER(C539),C539&gt;='Bulk Calculator'!U48/('Bulk Calculator'!J48*'Bulk Calculator'!L48)),1,0)</f>
        <v>1</v>
      </c>
      <c r="I539">
        <f>IFERROR(IF(AND(ISNUMBER(E539),ISNUMBER(F539),E539&gt;0,F539&gt;0),SQRT(3)*'Bulk Calculator'!O48*'Bulk Calculator'!AA48*((E539*'Bulk Calculator'!Q48)+(F539*SQRT(1-'Bulk Calculator'!Q48^2)))/'Bulk Calculator'!J48/'Bulk Calculator'!K48*100,D539*'Bulk Calculator'!AA48*'Bulk Calculator'!O48/'Bulk Calculator'!J48/'Bulk Calculator'!K48*100),"")</f>
        <v>0</v>
      </c>
      <c r="J539">
        <f>IFERROR(IF(AND(ISNUMBER(E539),ISNUMBER(F539),E539&gt;0,F539&gt;0),SQRT(3)*'Bulk Calculator'!O48*'Bulk Calculator'!U48*((E539*'Bulk Calculator'!M48)+(F539*SQRT(1-'Bulk Calculator'!M48^2)))/'Bulk Calculator'!J48/'Bulk Calculator'!K48*100,D539*'Bulk Calculator'!U48*'Bulk Calculator'!O48/'Bulk Calculator'!J48/'Bulk Calculator'!K48*100),"")</f>
        <v>0</v>
      </c>
      <c r="K539">
        <f>IFERROR(G539*B539*'Bulk Calculator'!J48/SQRT('Bulk Calculator'!S48)/1000,"")</f>
        <v>11.191520227386446</v>
      </c>
      <c r="L539">
        <f>IF(OR('Bulk Calculator'!R48="",'Bulk Calculator'!S48="",G539=""),0,IF(K539&gt;='Bulk Calculator'!R48,1,0))</f>
        <v>1</v>
      </c>
      <c r="M539">
        <f>IF(AND(H539=1,I539&lt;='OS-DORAEN'!$B$6,J539&lt;='OS-DORAEN'!$B$5,L539=1),1,0)</f>
        <v>1</v>
      </c>
      <c r="N539" t="str">
        <f t="shared" si="8"/>
        <v>R/X</v>
      </c>
    </row>
    <row r="540" spans="1:14" ht="15" customHeight="1" x14ac:dyDescent="0.35">
      <c r="A540">
        <v>48</v>
      </c>
      <c r="B540">
        <v>25</v>
      </c>
      <c r="C540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Master'!$F:$F,B540),"")</f>
        <v>96</v>
      </c>
      <c r="D540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Master'!$F:$F,B540),"")</f>
        <v>1.54</v>
      </c>
      <c r="E540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Master'!$F:$F,B540),"")</f>
        <v>1.54</v>
      </c>
      <c r="F540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Master'!$F:$F,B540),"")</f>
        <v>0.08</v>
      </c>
      <c r="G540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Master'!$F:$F,B540),"")</f>
        <v>143</v>
      </c>
      <c r="H540">
        <f>IF(AND(ISNUMBER(C540),C540&gt;='Bulk Calculator'!U48/('Bulk Calculator'!J48*'Bulk Calculator'!L48)),1,0)</f>
        <v>1</v>
      </c>
      <c r="I540">
        <f>IFERROR(IF(AND(ISNUMBER(E540),ISNUMBER(F540),E540&gt;0,F540&gt;0),SQRT(3)*'Bulk Calculator'!O48*'Bulk Calculator'!AA48*((E540*'Bulk Calculator'!Q48)+(F540*SQRT(1-'Bulk Calculator'!Q48^2)))/'Bulk Calculator'!J48/'Bulk Calculator'!K48*100,D540*'Bulk Calculator'!AA48*'Bulk Calculator'!O48/'Bulk Calculator'!J48/'Bulk Calculator'!K48*100),"")</f>
        <v>0</v>
      </c>
      <c r="J540">
        <f>IFERROR(IF(AND(ISNUMBER(E540),ISNUMBER(F540),E540&gt;0,F540&gt;0),SQRT(3)*'Bulk Calculator'!O48*'Bulk Calculator'!U48*((E540*'Bulk Calculator'!M48)+(F540*SQRT(1-'Bulk Calculator'!M48^2)))/'Bulk Calculator'!J48/'Bulk Calculator'!K48*100,D540*'Bulk Calculator'!U48*'Bulk Calculator'!O48/'Bulk Calculator'!J48/'Bulk Calculator'!K48*100),"")</f>
        <v>0</v>
      </c>
      <c r="K540">
        <f>IFERROR(G540*B540*'Bulk Calculator'!J48/SQRT('Bulk Calculator'!S48)/1000,"")</f>
        <v>7.9939430195617485</v>
      </c>
      <c r="L540">
        <f>IF(OR('Bulk Calculator'!R48="",'Bulk Calculator'!S48="",G540=""),0,IF(K540&gt;='Bulk Calculator'!R48,1,0))</f>
        <v>1</v>
      </c>
      <c r="M540">
        <f>IF(AND(H540=1,I540&lt;='OS-DORAEN'!$B$6,J540&lt;='OS-DORAEN'!$B$5,L540=1),1,0)</f>
        <v>1</v>
      </c>
      <c r="N540" t="str">
        <f t="shared" si="8"/>
        <v>R/X</v>
      </c>
    </row>
    <row r="541" spans="1:14" ht="15" customHeight="1" x14ac:dyDescent="0.35">
      <c r="A541">
        <v>48</v>
      </c>
      <c r="B541">
        <v>16</v>
      </c>
      <c r="C541">
        <f>IFERROR(SUMIFS('Cable Data Master'!$G:$G,'Cable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Master'!$F:$F,B541),"")</f>
        <v>0</v>
      </c>
      <c r="D541">
        <f>IFERROR(SUMIFS('Cable Data Master'!$K:$K,'Cable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Master'!$F:$F,B541),"")</f>
        <v>0</v>
      </c>
      <c r="E541">
        <f>IFERROR(SUMIFS('Cable Data Master'!$H:$H,'Cable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Master'!$F:$F,B541),"")</f>
        <v>0</v>
      </c>
      <c r="F541">
        <f>IFERROR(SUMIFS('Cable Data Master'!$I:$I,'Cable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Master'!$F:$F,B541),"")</f>
        <v>0</v>
      </c>
      <c r="G541">
        <f>IFERROR(SUMIFS('Cable Data Master'!$J:$J,'Cable Data Master'!$A:$A,'Bulk Calculator'!$BF48,'Cable Data Master'!$B:$B,'Bulk Calculator'!$BG48,'Cable Data Master'!$C:$C,'Bulk Calculator'!$BH48,'Cable Data Master'!$D:$D,'Bulk Calculator'!$BI48,'Cable Data Master'!$E:$E,'Bulk Calculator'!$BJ48,'Cable Data Master'!$F:$F,B541),"")</f>
        <v>0</v>
      </c>
      <c r="H541">
        <f>IF(AND(ISNUMBER(C541),C541&gt;='Bulk Calculator'!U48/('Bulk Calculator'!J48*'Bulk Calculator'!L48)),1,0)</f>
        <v>1</v>
      </c>
      <c r="I541">
        <f>IFERROR(IF(AND(ISNUMBER(E541),ISNUMBER(F541),E541&gt;0,F541&gt;0),SQRT(3)*'Bulk Calculator'!O48*'Bulk Calculator'!AA48*((E541*'Bulk Calculator'!Q48)+(F541*SQRT(1-'Bulk Calculator'!Q48^2)))/'Bulk Calculator'!J48/'Bulk Calculator'!K48*100,D541*'Bulk Calculator'!AA48*'Bulk Calculator'!O48/'Bulk Calculator'!J48/'Bulk Calculator'!K48*100),"")</f>
        <v>0</v>
      </c>
      <c r="J541">
        <f>IFERROR(IF(AND(ISNUMBER(E541),ISNUMBER(F541),E541&gt;0,F541&gt;0),SQRT(3)*'Bulk Calculator'!O48*'Bulk Calculator'!U48*((E541*'Bulk Calculator'!M48)+(F541*SQRT(1-'Bulk Calculator'!M48^2)))/'Bulk Calculator'!J48/'Bulk Calculator'!K48*100,D541*'Bulk Calculator'!U48*'Bulk Calculator'!O48/'Bulk Calculator'!J48/'Bulk Calculator'!K48*100),"")</f>
        <v>0</v>
      </c>
      <c r="K541">
        <f>IFERROR(G541*B541*'Bulk Calculator'!J48/SQRT('Bulk Calculator'!S48)/1000,"")</f>
        <v>0</v>
      </c>
      <c r="L541">
        <f>IF(OR('Bulk Calculator'!R48="",'Bulk Calculator'!S48="",G541=""),0,IF(K541&gt;='Bulk Calculator'!R48,1,0))</f>
        <v>1</v>
      </c>
      <c r="M541">
        <f>IF(AND(H541=1,I541&lt;='OS-DORAEN'!$B$6,J541&lt;='OS-DORAEN'!$B$5,L541=1),1,0)</f>
        <v>1</v>
      </c>
      <c r="N541" t="str">
        <f t="shared" si="8"/>
        <v>Manufacturer VD Ref</v>
      </c>
    </row>
    <row r="542" spans="1:14" ht="15" customHeight="1" x14ac:dyDescent="0.35">
      <c r="A542">
        <v>49</v>
      </c>
      <c r="B542">
        <v>400</v>
      </c>
      <c r="C542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Master'!$F:$F,B542),"")</f>
        <v>530</v>
      </c>
      <c r="D542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Master'!$F:$F,B542),"")</f>
        <v>0.1023</v>
      </c>
      <c r="E542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Master'!$F:$F,B542),"")</f>
        <v>0.1023</v>
      </c>
      <c r="F542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Master'!$F:$F,B542),"")</f>
        <v>7.0000000000000007E-2</v>
      </c>
      <c r="G542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Master'!$F:$F,B542),"")</f>
        <v>143</v>
      </c>
      <c r="H542">
        <f>IF(AND(ISNUMBER(C542),C542&gt;='Bulk Calculator'!U49/('Bulk Calculator'!J49*'Bulk Calculator'!L49)),1,0)</f>
        <v>1</v>
      </c>
      <c r="I542">
        <f>IFERROR(IF(AND(ISNUMBER(E542),ISNUMBER(F542),E542&gt;0,F542&gt;0),SQRT(3)*'Bulk Calculator'!O49*'Bulk Calculator'!AA49*((E542*'Bulk Calculator'!Q49)+(F542*SQRT(1-'Bulk Calculator'!Q49^2)))/'Bulk Calculator'!J49/'Bulk Calculator'!K49*100,D542*'Bulk Calculator'!AA49*'Bulk Calculator'!O49/'Bulk Calculator'!J49/'Bulk Calculator'!K49*100),"")</f>
        <v>0</v>
      </c>
      <c r="J542">
        <f>IFERROR(IF(AND(ISNUMBER(E542),ISNUMBER(F542),E542&gt;0,F542&gt;0),SQRT(3)*'Bulk Calculator'!O49*'Bulk Calculator'!U49*((E542*'Bulk Calculator'!M49)+(F542*SQRT(1-'Bulk Calculator'!M49^2)))/'Bulk Calculator'!J49/'Bulk Calculator'!K49*100,D542*'Bulk Calculator'!U49*'Bulk Calculator'!O49/'Bulk Calculator'!J49/'Bulk Calculator'!K49*100),"")</f>
        <v>0</v>
      </c>
      <c r="K542">
        <f>IFERROR(G542*B542*'Bulk Calculator'!J49/SQRT('Bulk Calculator'!S49)/1000,"")</f>
        <v>127.90308831298798</v>
      </c>
      <c r="L542">
        <f>IF(OR('Bulk Calculator'!R49="",'Bulk Calculator'!S49="",G542=""),0,IF(K542&gt;='Bulk Calculator'!R49,1,0))</f>
        <v>1</v>
      </c>
      <c r="M542">
        <f>IF(AND(H542=1,I542&lt;='OS-DORAEN'!$B$6,J542&lt;='OS-DORAEN'!$B$5,L542=1),1,0)</f>
        <v>1</v>
      </c>
      <c r="N542" t="str">
        <f t="shared" si="8"/>
        <v>R/X</v>
      </c>
    </row>
    <row r="543" spans="1:14" ht="15" customHeight="1" x14ac:dyDescent="0.35">
      <c r="A543">
        <v>49</v>
      </c>
      <c r="B543">
        <v>300</v>
      </c>
      <c r="C543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Master'!$F:$F,B543),"")</f>
        <v>455</v>
      </c>
      <c r="D543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Master'!$F:$F,B543),"")</f>
        <v>0.13</v>
      </c>
      <c r="E543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Master'!$F:$F,B543),"")</f>
        <v>0.13</v>
      </c>
      <c r="F543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Master'!$F:$F,B543),"")</f>
        <v>7.0999999999999994E-2</v>
      </c>
      <c r="G543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Master'!$F:$F,B543),"")</f>
        <v>143</v>
      </c>
      <c r="H543">
        <f>IF(AND(ISNUMBER(C543),C543&gt;='Bulk Calculator'!U49/('Bulk Calculator'!J49*'Bulk Calculator'!L49)),1,0)</f>
        <v>1</v>
      </c>
      <c r="I543">
        <f>IFERROR(IF(AND(ISNUMBER(E543),ISNUMBER(F543),E543&gt;0,F543&gt;0),SQRT(3)*'Bulk Calculator'!O49*'Bulk Calculator'!AA49*((E543*'Bulk Calculator'!Q49)+(F543*SQRT(1-'Bulk Calculator'!Q49^2)))/'Bulk Calculator'!J49/'Bulk Calculator'!K49*100,D543*'Bulk Calculator'!AA49*'Bulk Calculator'!O49/'Bulk Calculator'!J49/'Bulk Calculator'!K49*100),"")</f>
        <v>0</v>
      </c>
      <c r="J543">
        <f>IFERROR(IF(AND(ISNUMBER(E543),ISNUMBER(F543),E543&gt;0,F543&gt;0),SQRT(3)*'Bulk Calculator'!O49*'Bulk Calculator'!U49*((E543*'Bulk Calculator'!M49)+(F543*SQRT(1-'Bulk Calculator'!M49^2)))/'Bulk Calculator'!J49/'Bulk Calculator'!K49*100,D543*'Bulk Calculator'!U49*'Bulk Calculator'!O49/'Bulk Calculator'!J49/'Bulk Calculator'!K49*100),"")</f>
        <v>0</v>
      </c>
      <c r="K543">
        <f>IFERROR(G543*B543*'Bulk Calculator'!J49/SQRT('Bulk Calculator'!S49)/1000,"")</f>
        <v>95.927316234740985</v>
      </c>
      <c r="L543">
        <f>IF(OR('Bulk Calculator'!R49="",'Bulk Calculator'!S49="",G543=""),0,IF(K543&gt;='Bulk Calculator'!R49,1,0))</f>
        <v>1</v>
      </c>
      <c r="M543">
        <f>IF(AND(H543=1,I543&lt;='OS-DORAEN'!$B$6,J543&lt;='OS-DORAEN'!$B$5,L543=1),1,0)</f>
        <v>1</v>
      </c>
      <c r="N543" t="str">
        <f t="shared" si="8"/>
        <v>R/X</v>
      </c>
    </row>
    <row r="544" spans="1:14" ht="15" customHeight="1" x14ac:dyDescent="0.35">
      <c r="A544">
        <v>49</v>
      </c>
      <c r="B544">
        <v>240</v>
      </c>
      <c r="C544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Master'!$F:$F,B544),"")</f>
        <v>399</v>
      </c>
      <c r="D544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Master'!$F:$F,B544),"")</f>
        <v>0.16200000000000001</v>
      </c>
      <c r="E544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Master'!$F:$F,B544),"")</f>
        <v>0.16200000000000001</v>
      </c>
      <c r="F544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Master'!$F:$F,B544),"")</f>
        <v>7.1999999999999995E-2</v>
      </c>
      <c r="G544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Master'!$F:$F,B544),"")</f>
        <v>143</v>
      </c>
      <c r="H544">
        <f>IF(AND(ISNUMBER(C544),C544&gt;='Bulk Calculator'!U49/('Bulk Calculator'!J49*'Bulk Calculator'!L49)),1,0)</f>
        <v>1</v>
      </c>
      <c r="I544">
        <f>IFERROR(IF(AND(ISNUMBER(E544),ISNUMBER(F544),E544&gt;0,F544&gt;0),SQRT(3)*'Bulk Calculator'!O49*'Bulk Calculator'!AA49*((E544*'Bulk Calculator'!Q49)+(F544*SQRT(1-'Bulk Calculator'!Q49^2)))/'Bulk Calculator'!J49/'Bulk Calculator'!K49*100,D544*'Bulk Calculator'!AA49*'Bulk Calculator'!O49/'Bulk Calculator'!J49/'Bulk Calculator'!K49*100),"")</f>
        <v>0</v>
      </c>
      <c r="J544">
        <f>IFERROR(IF(AND(ISNUMBER(E544),ISNUMBER(F544),E544&gt;0,F544&gt;0),SQRT(3)*'Bulk Calculator'!O49*'Bulk Calculator'!U49*((E544*'Bulk Calculator'!M49)+(F544*SQRT(1-'Bulk Calculator'!M49^2)))/'Bulk Calculator'!J49/'Bulk Calculator'!K49*100,D544*'Bulk Calculator'!U49*'Bulk Calculator'!O49/'Bulk Calculator'!J49/'Bulk Calculator'!K49*100),"")</f>
        <v>0</v>
      </c>
      <c r="K544">
        <f>IFERROR(G544*B544*'Bulk Calculator'!J49/SQRT('Bulk Calculator'!S49)/1000,"")</f>
        <v>76.741852987792782</v>
      </c>
      <c r="L544">
        <f>IF(OR('Bulk Calculator'!R49="",'Bulk Calculator'!S49="",G544=""),0,IF(K544&gt;='Bulk Calculator'!R49,1,0))</f>
        <v>1</v>
      </c>
      <c r="M544">
        <f>IF(AND(H544=1,I544&lt;='OS-DORAEN'!$B$6,J544&lt;='OS-DORAEN'!$B$5,L544=1),1,0)</f>
        <v>1</v>
      </c>
      <c r="N544" t="str">
        <f t="shared" si="8"/>
        <v>R/X</v>
      </c>
    </row>
    <row r="545" spans="1:14" ht="15" customHeight="1" x14ac:dyDescent="0.35">
      <c r="A545">
        <v>49</v>
      </c>
      <c r="B545">
        <v>185</v>
      </c>
      <c r="C545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Master'!$F:$F,B545),"")</f>
        <v>337</v>
      </c>
      <c r="D545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Master'!$F:$F,B545),"")</f>
        <v>0.21099999999999999</v>
      </c>
      <c r="E545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Master'!$F:$F,B545),"")</f>
        <v>0.21099999999999999</v>
      </c>
      <c r="F545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Master'!$F:$F,B545),"")</f>
        <v>7.1999999999999995E-2</v>
      </c>
      <c r="G545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Master'!$F:$F,B545),"")</f>
        <v>143</v>
      </c>
      <c r="H545">
        <f>IF(AND(ISNUMBER(C545),C545&gt;='Bulk Calculator'!U49/('Bulk Calculator'!J49*'Bulk Calculator'!L49)),1,0)</f>
        <v>1</v>
      </c>
      <c r="I545">
        <f>IFERROR(IF(AND(ISNUMBER(E545),ISNUMBER(F545),E545&gt;0,F545&gt;0),SQRT(3)*'Bulk Calculator'!O49*'Bulk Calculator'!AA49*((E545*'Bulk Calculator'!Q49)+(F545*SQRT(1-'Bulk Calculator'!Q49^2)))/'Bulk Calculator'!J49/'Bulk Calculator'!K49*100,D545*'Bulk Calculator'!AA49*'Bulk Calculator'!O49/'Bulk Calculator'!J49/'Bulk Calculator'!K49*100),"")</f>
        <v>0</v>
      </c>
      <c r="J545">
        <f>IFERROR(IF(AND(ISNUMBER(E545),ISNUMBER(F545),E545&gt;0,F545&gt;0),SQRT(3)*'Bulk Calculator'!O49*'Bulk Calculator'!U49*((E545*'Bulk Calculator'!M49)+(F545*SQRT(1-'Bulk Calculator'!M49^2)))/'Bulk Calculator'!J49/'Bulk Calculator'!K49*100,D545*'Bulk Calculator'!U49*'Bulk Calculator'!O49/'Bulk Calculator'!J49/'Bulk Calculator'!K49*100),"")</f>
        <v>0</v>
      </c>
      <c r="K545">
        <f>IFERROR(G545*B545*'Bulk Calculator'!J49/SQRT('Bulk Calculator'!S49)/1000,"")</f>
        <v>59.155178344756941</v>
      </c>
      <c r="L545">
        <f>IF(OR('Bulk Calculator'!R49="",'Bulk Calculator'!S49="",G545=""),0,IF(K545&gt;='Bulk Calculator'!R49,1,0))</f>
        <v>1</v>
      </c>
      <c r="M545">
        <f>IF(AND(H545=1,I545&lt;='OS-DORAEN'!$B$6,J545&lt;='OS-DORAEN'!$B$5,L545=1),1,0)</f>
        <v>1</v>
      </c>
      <c r="N545" t="str">
        <f t="shared" si="8"/>
        <v>R/X</v>
      </c>
    </row>
    <row r="546" spans="1:14" ht="15" customHeight="1" x14ac:dyDescent="0.35">
      <c r="A546">
        <v>49</v>
      </c>
      <c r="B546">
        <v>150</v>
      </c>
      <c r="C546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Master'!$F:$F,B546),"")</f>
        <v>292</v>
      </c>
      <c r="D546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Master'!$F:$F,B546),"")</f>
        <v>0.26500000000000001</v>
      </c>
      <c r="E546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Master'!$F:$F,B546),"")</f>
        <v>0.26500000000000001</v>
      </c>
      <c r="F546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Master'!$F:$F,B546),"")</f>
        <v>7.1999999999999995E-2</v>
      </c>
      <c r="G546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Master'!$F:$F,B546),"")</f>
        <v>143</v>
      </c>
      <c r="H546">
        <f>IF(AND(ISNUMBER(C546),C546&gt;='Bulk Calculator'!U49/('Bulk Calculator'!J49*'Bulk Calculator'!L49)),1,0)</f>
        <v>1</v>
      </c>
      <c r="I546">
        <f>IFERROR(IF(AND(ISNUMBER(E546),ISNUMBER(F546),E546&gt;0,F546&gt;0),SQRT(3)*'Bulk Calculator'!O49*'Bulk Calculator'!AA49*((E546*'Bulk Calculator'!Q49)+(F546*SQRT(1-'Bulk Calculator'!Q49^2)))/'Bulk Calculator'!J49/'Bulk Calculator'!K49*100,D546*'Bulk Calculator'!AA49*'Bulk Calculator'!O49/'Bulk Calculator'!J49/'Bulk Calculator'!K49*100),"")</f>
        <v>0</v>
      </c>
      <c r="J546">
        <f>IFERROR(IF(AND(ISNUMBER(E546),ISNUMBER(F546),E546&gt;0,F546&gt;0),SQRT(3)*'Bulk Calculator'!O49*'Bulk Calculator'!U49*((E546*'Bulk Calculator'!M49)+(F546*SQRT(1-'Bulk Calculator'!M49^2)))/'Bulk Calculator'!J49/'Bulk Calculator'!K49*100,D546*'Bulk Calculator'!U49*'Bulk Calculator'!O49/'Bulk Calculator'!J49/'Bulk Calculator'!K49*100),"")</f>
        <v>0</v>
      </c>
      <c r="K546">
        <f>IFERROR(G546*B546*'Bulk Calculator'!J49/SQRT('Bulk Calculator'!S49)/1000,"")</f>
        <v>47.963658117370493</v>
      </c>
      <c r="L546">
        <f>IF(OR('Bulk Calculator'!R49="",'Bulk Calculator'!S49="",G546=""),0,IF(K546&gt;='Bulk Calculator'!R49,1,0))</f>
        <v>1</v>
      </c>
      <c r="M546">
        <f>IF(AND(H546=1,I546&lt;='OS-DORAEN'!$B$6,J546&lt;='OS-DORAEN'!$B$5,L546=1),1,0)</f>
        <v>1</v>
      </c>
      <c r="N546" t="str">
        <f t="shared" si="8"/>
        <v>R/X</v>
      </c>
    </row>
    <row r="547" spans="1:14" ht="15" customHeight="1" x14ac:dyDescent="0.35">
      <c r="A547">
        <v>49</v>
      </c>
      <c r="B547">
        <v>120</v>
      </c>
      <c r="C547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Master'!$F:$F,B547),"")</f>
        <v>257</v>
      </c>
      <c r="D547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Master'!$F:$F,B547),"")</f>
        <v>0.32500000000000001</v>
      </c>
      <c r="E547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Master'!$F:$F,B547),"")</f>
        <v>0.32500000000000001</v>
      </c>
      <c r="F547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Master'!$F:$F,B547),"")</f>
        <v>7.1999999999999995E-2</v>
      </c>
      <c r="G547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Master'!$F:$F,B547),"")</f>
        <v>143</v>
      </c>
      <c r="H547">
        <f>IF(AND(ISNUMBER(C547),C547&gt;='Bulk Calculator'!U49/('Bulk Calculator'!J49*'Bulk Calculator'!L49)),1,0)</f>
        <v>1</v>
      </c>
      <c r="I547">
        <f>IFERROR(IF(AND(ISNUMBER(E547),ISNUMBER(F547),E547&gt;0,F547&gt;0),SQRT(3)*'Bulk Calculator'!O49*'Bulk Calculator'!AA49*((E547*'Bulk Calculator'!Q49)+(F547*SQRT(1-'Bulk Calculator'!Q49^2)))/'Bulk Calculator'!J49/'Bulk Calculator'!K49*100,D547*'Bulk Calculator'!AA49*'Bulk Calculator'!O49/'Bulk Calculator'!J49/'Bulk Calculator'!K49*100),"")</f>
        <v>0</v>
      </c>
      <c r="J547">
        <f>IFERROR(IF(AND(ISNUMBER(E547),ISNUMBER(F547),E547&gt;0,F547&gt;0),SQRT(3)*'Bulk Calculator'!O49*'Bulk Calculator'!U49*((E547*'Bulk Calculator'!M49)+(F547*SQRT(1-'Bulk Calculator'!M49^2)))/'Bulk Calculator'!J49/'Bulk Calculator'!K49*100,D547*'Bulk Calculator'!U49*'Bulk Calculator'!O49/'Bulk Calculator'!J49/'Bulk Calculator'!K49*100),"")</f>
        <v>0</v>
      </c>
      <c r="K547">
        <f>IFERROR(G547*B547*'Bulk Calculator'!J49/SQRT('Bulk Calculator'!S49)/1000,"")</f>
        <v>38.370926493896391</v>
      </c>
      <c r="L547">
        <f>IF(OR('Bulk Calculator'!R49="",'Bulk Calculator'!S49="",G547=""),0,IF(K547&gt;='Bulk Calculator'!R49,1,0))</f>
        <v>1</v>
      </c>
      <c r="M547">
        <f>IF(AND(H547=1,I547&lt;='OS-DORAEN'!$B$6,J547&lt;='OS-DORAEN'!$B$5,L547=1),1,0)</f>
        <v>1</v>
      </c>
      <c r="N547" t="str">
        <f t="shared" si="8"/>
        <v>R/X</v>
      </c>
    </row>
    <row r="548" spans="1:14" ht="15" customHeight="1" x14ac:dyDescent="0.35">
      <c r="A548">
        <v>49</v>
      </c>
      <c r="B548">
        <v>95</v>
      </c>
      <c r="C548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Master'!$F:$F,B548),"")</f>
        <v>221</v>
      </c>
      <c r="D548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Master'!$F:$F,B548),"")</f>
        <v>0.41</v>
      </c>
      <c r="E548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Master'!$F:$F,B548),"")</f>
        <v>0.41</v>
      </c>
      <c r="F548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Master'!$F:$F,B548),"")</f>
        <v>7.3999999999999996E-2</v>
      </c>
      <c r="G548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Master'!$F:$F,B548),"")</f>
        <v>143</v>
      </c>
      <c r="H548">
        <f>IF(AND(ISNUMBER(C548),C548&gt;='Bulk Calculator'!U49/('Bulk Calculator'!J49*'Bulk Calculator'!L49)),1,0)</f>
        <v>1</v>
      </c>
      <c r="I548">
        <f>IFERROR(IF(AND(ISNUMBER(E548),ISNUMBER(F548),E548&gt;0,F548&gt;0),SQRT(3)*'Bulk Calculator'!O49*'Bulk Calculator'!AA49*((E548*'Bulk Calculator'!Q49)+(F548*SQRT(1-'Bulk Calculator'!Q49^2)))/'Bulk Calculator'!J49/'Bulk Calculator'!K49*100,D548*'Bulk Calculator'!AA49*'Bulk Calculator'!O49/'Bulk Calculator'!J49/'Bulk Calculator'!K49*100),"")</f>
        <v>0</v>
      </c>
      <c r="J548">
        <f>IFERROR(IF(AND(ISNUMBER(E548),ISNUMBER(F548),E548&gt;0,F548&gt;0),SQRT(3)*'Bulk Calculator'!O49*'Bulk Calculator'!U49*((E548*'Bulk Calculator'!M49)+(F548*SQRT(1-'Bulk Calculator'!M49^2)))/'Bulk Calculator'!J49/'Bulk Calculator'!K49*100,D548*'Bulk Calculator'!U49*'Bulk Calculator'!O49/'Bulk Calculator'!J49/'Bulk Calculator'!K49*100),"")</f>
        <v>0</v>
      </c>
      <c r="K548">
        <f>IFERROR(G548*B548*'Bulk Calculator'!J49/SQRT('Bulk Calculator'!S49)/1000,"")</f>
        <v>30.376983474334644</v>
      </c>
      <c r="L548">
        <f>IF(OR('Bulk Calculator'!R49="",'Bulk Calculator'!S49="",G548=""),0,IF(K548&gt;='Bulk Calculator'!R49,1,0))</f>
        <v>1</v>
      </c>
      <c r="M548">
        <f>IF(AND(H548=1,I548&lt;='OS-DORAEN'!$B$6,J548&lt;='OS-DORAEN'!$B$5,L548=1),1,0)</f>
        <v>1</v>
      </c>
      <c r="N548" t="str">
        <f t="shared" si="8"/>
        <v>R/X</v>
      </c>
    </row>
    <row r="549" spans="1:14" ht="15" customHeight="1" x14ac:dyDescent="0.35">
      <c r="A549">
        <v>49</v>
      </c>
      <c r="B549">
        <v>70</v>
      </c>
      <c r="C549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Master'!$F:$F,B549),"")</f>
        <v>179</v>
      </c>
      <c r="D549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Master'!$F:$F,B549),"")</f>
        <v>0.56699999999999995</v>
      </c>
      <c r="E549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Master'!$F:$F,B549),"")</f>
        <v>0.56699999999999995</v>
      </c>
      <c r="F549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Master'!$F:$F,B549),"")</f>
        <v>7.6999999999999999E-2</v>
      </c>
      <c r="G549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Master'!$F:$F,B549),"")</f>
        <v>143</v>
      </c>
      <c r="H549">
        <f>IF(AND(ISNUMBER(C549),C549&gt;='Bulk Calculator'!U49/('Bulk Calculator'!J49*'Bulk Calculator'!L49)),1,0)</f>
        <v>1</v>
      </c>
      <c r="I549">
        <f>IFERROR(IF(AND(ISNUMBER(E549),ISNUMBER(F549),E549&gt;0,F549&gt;0),SQRT(3)*'Bulk Calculator'!O49*'Bulk Calculator'!AA49*((E549*'Bulk Calculator'!Q49)+(F549*SQRT(1-'Bulk Calculator'!Q49^2)))/'Bulk Calculator'!J49/'Bulk Calculator'!K49*100,D549*'Bulk Calculator'!AA49*'Bulk Calculator'!O49/'Bulk Calculator'!J49/'Bulk Calculator'!K49*100),"")</f>
        <v>0</v>
      </c>
      <c r="J549">
        <f>IFERROR(IF(AND(ISNUMBER(E549),ISNUMBER(F549),E549&gt;0,F549&gt;0),SQRT(3)*'Bulk Calculator'!O49*'Bulk Calculator'!U49*((E549*'Bulk Calculator'!M49)+(F549*SQRT(1-'Bulk Calculator'!M49^2)))/'Bulk Calculator'!J49/'Bulk Calculator'!K49*100,D549*'Bulk Calculator'!U49*'Bulk Calculator'!O49/'Bulk Calculator'!J49/'Bulk Calculator'!K49*100),"")</f>
        <v>0</v>
      </c>
      <c r="K549">
        <f>IFERROR(G549*B549*'Bulk Calculator'!J49/SQRT('Bulk Calculator'!S49)/1000,"")</f>
        <v>22.383040454772893</v>
      </c>
      <c r="L549">
        <f>IF(OR('Bulk Calculator'!R49="",'Bulk Calculator'!S49="",G549=""),0,IF(K549&gt;='Bulk Calculator'!R49,1,0))</f>
        <v>1</v>
      </c>
      <c r="M549">
        <f>IF(AND(H549=1,I549&lt;='OS-DORAEN'!$B$6,J549&lt;='OS-DORAEN'!$B$5,L549=1),1,0)</f>
        <v>1</v>
      </c>
      <c r="N549" t="str">
        <f t="shared" si="8"/>
        <v>R/X</v>
      </c>
    </row>
    <row r="550" spans="1:14" ht="15" customHeight="1" x14ac:dyDescent="0.35">
      <c r="A550">
        <v>49</v>
      </c>
      <c r="B550">
        <v>50</v>
      </c>
      <c r="C550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Master'!$F:$F,B550),"")</f>
        <v>142</v>
      </c>
      <c r="D550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Master'!$F:$F,B550),"")</f>
        <v>0.82</v>
      </c>
      <c r="E550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Master'!$F:$F,B550),"")</f>
        <v>0.82</v>
      </c>
      <c r="F550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Master'!$F:$F,B550),"")</f>
        <v>7.8E-2</v>
      </c>
      <c r="G550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Master'!$F:$F,B550),"")</f>
        <v>143</v>
      </c>
      <c r="H550">
        <f>IF(AND(ISNUMBER(C550),C550&gt;='Bulk Calculator'!U49/('Bulk Calculator'!J49*'Bulk Calculator'!L49)),1,0)</f>
        <v>1</v>
      </c>
      <c r="I550">
        <f>IFERROR(IF(AND(ISNUMBER(E550),ISNUMBER(F550),E550&gt;0,F550&gt;0),SQRT(3)*'Bulk Calculator'!O49*'Bulk Calculator'!AA49*((E550*'Bulk Calculator'!Q49)+(F550*SQRT(1-'Bulk Calculator'!Q49^2)))/'Bulk Calculator'!J49/'Bulk Calculator'!K49*100,D550*'Bulk Calculator'!AA49*'Bulk Calculator'!O49/'Bulk Calculator'!J49/'Bulk Calculator'!K49*100),"")</f>
        <v>0</v>
      </c>
      <c r="J550">
        <f>IFERROR(IF(AND(ISNUMBER(E550),ISNUMBER(F550),E550&gt;0,F550&gt;0),SQRT(3)*'Bulk Calculator'!O49*'Bulk Calculator'!U49*((E550*'Bulk Calculator'!M49)+(F550*SQRT(1-'Bulk Calculator'!M49^2)))/'Bulk Calculator'!J49/'Bulk Calculator'!K49*100,D550*'Bulk Calculator'!U49*'Bulk Calculator'!O49/'Bulk Calculator'!J49/'Bulk Calculator'!K49*100),"")</f>
        <v>0</v>
      </c>
      <c r="K550">
        <f>IFERROR(G550*B550*'Bulk Calculator'!J49/SQRT('Bulk Calculator'!S49)/1000,"")</f>
        <v>15.987886039123497</v>
      </c>
      <c r="L550">
        <f>IF(OR('Bulk Calculator'!R49="",'Bulk Calculator'!S49="",G550=""),0,IF(K550&gt;='Bulk Calculator'!R49,1,0))</f>
        <v>1</v>
      </c>
      <c r="M550">
        <f>IF(AND(H550=1,I550&lt;='OS-DORAEN'!$B$6,J550&lt;='OS-DORAEN'!$B$5,L550=1),1,0)</f>
        <v>1</v>
      </c>
      <c r="N550" t="str">
        <f t="shared" si="8"/>
        <v>R/X</v>
      </c>
    </row>
    <row r="551" spans="1:14" ht="15" customHeight="1" x14ac:dyDescent="0.35">
      <c r="A551">
        <v>49</v>
      </c>
      <c r="B551">
        <v>35</v>
      </c>
      <c r="C551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Master'!$F:$F,B551),"")</f>
        <v>117</v>
      </c>
      <c r="D551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Master'!$F:$F,B551),"")</f>
        <v>1.1100000000000001</v>
      </c>
      <c r="E551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Master'!$F:$F,B551),"")</f>
        <v>1.1100000000000001</v>
      </c>
      <c r="F551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Master'!$F:$F,B551),"")</f>
        <v>0.08</v>
      </c>
      <c r="G551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Master'!$F:$F,B551),"")</f>
        <v>143</v>
      </c>
      <c r="H551">
        <f>IF(AND(ISNUMBER(C551),C551&gt;='Bulk Calculator'!U49/('Bulk Calculator'!J49*'Bulk Calculator'!L49)),1,0)</f>
        <v>1</v>
      </c>
      <c r="I551">
        <f>IFERROR(IF(AND(ISNUMBER(E551),ISNUMBER(F551),E551&gt;0,F551&gt;0),SQRT(3)*'Bulk Calculator'!O49*'Bulk Calculator'!AA49*((E551*'Bulk Calculator'!Q49)+(F551*SQRT(1-'Bulk Calculator'!Q49^2)))/'Bulk Calculator'!J49/'Bulk Calculator'!K49*100,D551*'Bulk Calculator'!AA49*'Bulk Calculator'!O49/'Bulk Calculator'!J49/'Bulk Calculator'!K49*100),"")</f>
        <v>0</v>
      </c>
      <c r="J551">
        <f>IFERROR(IF(AND(ISNUMBER(E551),ISNUMBER(F551),E551&gt;0,F551&gt;0),SQRT(3)*'Bulk Calculator'!O49*'Bulk Calculator'!U49*((E551*'Bulk Calculator'!M49)+(F551*SQRT(1-'Bulk Calculator'!M49^2)))/'Bulk Calculator'!J49/'Bulk Calculator'!K49*100,D551*'Bulk Calculator'!U49*'Bulk Calculator'!O49/'Bulk Calculator'!J49/'Bulk Calculator'!K49*100),"")</f>
        <v>0</v>
      </c>
      <c r="K551">
        <f>IFERROR(G551*B551*'Bulk Calculator'!J49/SQRT('Bulk Calculator'!S49)/1000,"")</f>
        <v>11.191520227386446</v>
      </c>
      <c r="L551">
        <f>IF(OR('Bulk Calculator'!R49="",'Bulk Calculator'!S49="",G551=""),0,IF(K551&gt;='Bulk Calculator'!R49,1,0))</f>
        <v>1</v>
      </c>
      <c r="M551">
        <f>IF(AND(H551=1,I551&lt;='OS-DORAEN'!$B$6,J551&lt;='OS-DORAEN'!$B$5,L551=1),1,0)</f>
        <v>1</v>
      </c>
      <c r="N551" t="str">
        <f t="shared" si="8"/>
        <v>R/X</v>
      </c>
    </row>
    <row r="552" spans="1:14" ht="15" customHeight="1" x14ac:dyDescent="0.35">
      <c r="A552">
        <v>49</v>
      </c>
      <c r="B552">
        <v>25</v>
      </c>
      <c r="C552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Master'!$F:$F,B552),"")</f>
        <v>96</v>
      </c>
      <c r="D552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Master'!$F:$F,B552),"")</f>
        <v>1.54</v>
      </c>
      <c r="E552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Master'!$F:$F,B552),"")</f>
        <v>1.54</v>
      </c>
      <c r="F552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Master'!$F:$F,B552),"")</f>
        <v>0.08</v>
      </c>
      <c r="G552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Master'!$F:$F,B552),"")</f>
        <v>143</v>
      </c>
      <c r="H552">
        <f>IF(AND(ISNUMBER(C552),C552&gt;='Bulk Calculator'!U49/('Bulk Calculator'!J49*'Bulk Calculator'!L49)),1,0)</f>
        <v>1</v>
      </c>
      <c r="I552">
        <f>IFERROR(IF(AND(ISNUMBER(E552),ISNUMBER(F552),E552&gt;0,F552&gt;0),SQRT(3)*'Bulk Calculator'!O49*'Bulk Calculator'!AA49*((E552*'Bulk Calculator'!Q49)+(F552*SQRT(1-'Bulk Calculator'!Q49^2)))/'Bulk Calculator'!J49/'Bulk Calculator'!K49*100,D552*'Bulk Calculator'!AA49*'Bulk Calculator'!O49/'Bulk Calculator'!J49/'Bulk Calculator'!K49*100),"")</f>
        <v>0</v>
      </c>
      <c r="J552">
        <f>IFERROR(IF(AND(ISNUMBER(E552),ISNUMBER(F552),E552&gt;0,F552&gt;0),SQRT(3)*'Bulk Calculator'!O49*'Bulk Calculator'!U49*((E552*'Bulk Calculator'!M49)+(F552*SQRT(1-'Bulk Calculator'!M49^2)))/'Bulk Calculator'!J49/'Bulk Calculator'!K49*100,D552*'Bulk Calculator'!U49*'Bulk Calculator'!O49/'Bulk Calculator'!J49/'Bulk Calculator'!K49*100),"")</f>
        <v>0</v>
      </c>
      <c r="K552">
        <f>IFERROR(G552*B552*'Bulk Calculator'!J49/SQRT('Bulk Calculator'!S49)/1000,"")</f>
        <v>7.9939430195617485</v>
      </c>
      <c r="L552">
        <f>IF(OR('Bulk Calculator'!R49="",'Bulk Calculator'!S49="",G552=""),0,IF(K552&gt;='Bulk Calculator'!R49,1,0))</f>
        <v>1</v>
      </c>
      <c r="M552">
        <f>IF(AND(H552=1,I552&lt;='OS-DORAEN'!$B$6,J552&lt;='OS-DORAEN'!$B$5,L552=1),1,0)</f>
        <v>1</v>
      </c>
      <c r="N552" t="str">
        <f t="shared" si="8"/>
        <v>R/X</v>
      </c>
    </row>
    <row r="553" spans="1:14" ht="15" customHeight="1" x14ac:dyDescent="0.35">
      <c r="A553">
        <v>49</v>
      </c>
      <c r="B553">
        <v>16</v>
      </c>
      <c r="C553">
        <f>IFERROR(SUMIFS('Cable Data Master'!$G:$G,'Cable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Master'!$F:$F,B553),"")</f>
        <v>0</v>
      </c>
      <c r="D553">
        <f>IFERROR(SUMIFS('Cable Data Master'!$K:$K,'Cable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Master'!$F:$F,B553),"")</f>
        <v>0</v>
      </c>
      <c r="E553">
        <f>IFERROR(SUMIFS('Cable Data Master'!$H:$H,'Cable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Master'!$F:$F,B553),"")</f>
        <v>0</v>
      </c>
      <c r="F553">
        <f>IFERROR(SUMIFS('Cable Data Master'!$I:$I,'Cable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Master'!$F:$F,B553),"")</f>
        <v>0</v>
      </c>
      <c r="G553">
        <f>IFERROR(SUMIFS('Cable Data Master'!$J:$J,'Cable Data Master'!$A:$A,'Bulk Calculator'!$BF49,'Cable Data Master'!$B:$B,'Bulk Calculator'!$BG49,'Cable Data Master'!$C:$C,'Bulk Calculator'!$BH49,'Cable Data Master'!$D:$D,'Bulk Calculator'!$BI49,'Cable Data Master'!$E:$E,'Bulk Calculator'!$BJ49,'Cable Data Master'!$F:$F,B553),"")</f>
        <v>0</v>
      </c>
      <c r="H553">
        <f>IF(AND(ISNUMBER(C553),C553&gt;='Bulk Calculator'!U49/('Bulk Calculator'!J49*'Bulk Calculator'!L49)),1,0)</f>
        <v>1</v>
      </c>
      <c r="I553">
        <f>IFERROR(IF(AND(ISNUMBER(E553),ISNUMBER(F553),E553&gt;0,F553&gt;0),SQRT(3)*'Bulk Calculator'!O49*'Bulk Calculator'!AA49*((E553*'Bulk Calculator'!Q49)+(F553*SQRT(1-'Bulk Calculator'!Q49^2)))/'Bulk Calculator'!J49/'Bulk Calculator'!K49*100,D553*'Bulk Calculator'!AA49*'Bulk Calculator'!O49/'Bulk Calculator'!J49/'Bulk Calculator'!K49*100),"")</f>
        <v>0</v>
      </c>
      <c r="J553">
        <f>IFERROR(IF(AND(ISNUMBER(E553),ISNUMBER(F553),E553&gt;0,F553&gt;0),SQRT(3)*'Bulk Calculator'!O49*'Bulk Calculator'!U49*((E553*'Bulk Calculator'!M49)+(F553*SQRT(1-'Bulk Calculator'!M49^2)))/'Bulk Calculator'!J49/'Bulk Calculator'!K49*100,D553*'Bulk Calculator'!U49*'Bulk Calculator'!O49/'Bulk Calculator'!J49/'Bulk Calculator'!K49*100),"")</f>
        <v>0</v>
      </c>
      <c r="K553">
        <f>IFERROR(G553*B553*'Bulk Calculator'!J49/SQRT('Bulk Calculator'!S49)/1000,"")</f>
        <v>0</v>
      </c>
      <c r="L553">
        <f>IF(OR('Bulk Calculator'!R49="",'Bulk Calculator'!S49="",G553=""),0,IF(K553&gt;='Bulk Calculator'!R49,1,0))</f>
        <v>1</v>
      </c>
      <c r="M553">
        <f>IF(AND(H553=1,I553&lt;='OS-DORAEN'!$B$6,J553&lt;='OS-DORAEN'!$B$5,L553=1),1,0)</f>
        <v>1</v>
      </c>
      <c r="N553" t="str">
        <f t="shared" si="8"/>
        <v>Manufacturer VD Ref</v>
      </c>
    </row>
    <row r="554" spans="1:14" ht="15" customHeight="1" x14ac:dyDescent="0.35">
      <c r="A554">
        <v>50</v>
      </c>
      <c r="B554">
        <v>400</v>
      </c>
      <c r="C554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Master'!$F:$F,B554),"")</f>
        <v>530</v>
      </c>
      <c r="D554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Master'!$F:$F,B554),"")</f>
        <v>0.1023</v>
      </c>
      <c r="E554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Master'!$F:$F,B554),"")</f>
        <v>0.1023</v>
      </c>
      <c r="F554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Master'!$F:$F,B554),"")</f>
        <v>7.0000000000000007E-2</v>
      </c>
      <c r="G554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Master'!$F:$F,B554),"")</f>
        <v>143</v>
      </c>
      <c r="H554">
        <f>IF(AND(ISNUMBER(C554),C554&gt;='Bulk Calculator'!U50/('Bulk Calculator'!J50*'Bulk Calculator'!L50)),1,0)</f>
        <v>1</v>
      </c>
      <c r="I554">
        <f>IFERROR(IF(AND(ISNUMBER(E554),ISNUMBER(F554),E554&gt;0,F554&gt;0),SQRT(3)*'Bulk Calculator'!O50*'Bulk Calculator'!AA50*((E554*'Bulk Calculator'!Q50)+(F554*SQRT(1-'Bulk Calculator'!Q50^2)))/'Bulk Calculator'!J50/'Bulk Calculator'!K50*100,D554*'Bulk Calculator'!AA50*'Bulk Calculator'!O50/'Bulk Calculator'!J50/'Bulk Calculator'!K50*100),"")</f>
        <v>0</v>
      </c>
      <c r="J554">
        <f>IFERROR(IF(AND(ISNUMBER(E554),ISNUMBER(F554),E554&gt;0,F554&gt;0),SQRT(3)*'Bulk Calculator'!O50*'Bulk Calculator'!U50*((E554*'Bulk Calculator'!M50)+(F554*SQRT(1-'Bulk Calculator'!M50^2)))/'Bulk Calculator'!J50/'Bulk Calculator'!K50*100,D554*'Bulk Calculator'!U50*'Bulk Calculator'!O50/'Bulk Calculator'!J50/'Bulk Calculator'!K50*100),"")</f>
        <v>0</v>
      </c>
      <c r="K554">
        <f>IFERROR(G554*B554*'Bulk Calculator'!J50/SQRT('Bulk Calculator'!S50)/1000,"")</f>
        <v>127.90308831298798</v>
      </c>
      <c r="L554">
        <f>IF(OR('Bulk Calculator'!R50="",'Bulk Calculator'!S50="",G554=""),0,IF(K554&gt;='Bulk Calculator'!R50,1,0))</f>
        <v>1</v>
      </c>
      <c r="M554">
        <f>IF(AND(H554=1,I554&lt;='OS-DORAEN'!$B$6,J554&lt;='OS-DORAEN'!$B$5,L554=1),1,0)</f>
        <v>1</v>
      </c>
      <c r="N554" t="str">
        <f t="shared" si="8"/>
        <v>R/X</v>
      </c>
    </row>
    <row r="555" spans="1:14" ht="15" customHeight="1" x14ac:dyDescent="0.35">
      <c r="A555">
        <v>50</v>
      </c>
      <c r="B555">
        <v>300</v>
      </c>
      <c r="C555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Master'!$F:$F,B555),"")</f>
        <v>455</v>
      </c>
      <c r="D555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Master'!$F:$F,B555),"")</f>
        <v>0.13</v>
      </c>
      <c r="E555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Master'!$F:$F,B555),"")</f>
        <v>0.13</v>
      </c>
      <c r="F555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Master'!$F:$F,B555),"")</f>
        <v>7.0999999999999994E-2</v>
      </c>
      <c r="G555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Master'!$F:$F,B555),"")</f>
        <v>143</v>
      </c>
      <c r="H555">
        <f>IF(AND(ISNUMBER(C555),C555&gt;='Bulk Calculator'!U50/('Bulk Calculator'!J50*'Bulk Calculator'!L50)),1,0)</f>
        <v>1</v>
      </c>
      <c r="I555">
        <f>IFERROR(IF(AND(ISNUMBER(E555),ISNUMBER(F555),E555&gt;0,F555&gt;0),SQRT(3)*'Bulk Calculator'!O50*'Bulk Calculator'!AA50*((E555*'Bulk Calculator'!Q50)+(F555*SQRT(1-'Bulk Calculator'!Q50^2)))/'Bulk Calculator'!J50/'Bulk Calculator'!K50*100,D555*'Bulk Calculator'!AA50*'Bulk Calculator'!O50/'Bulk Calculator'!J50/'Bulk Calculator'!K50*100),"")</f>
        <v>0</v>
      </c>
      <c r="J555">
        <f>IFERROR(IF(AND(ISNUMBER(E555),ISNUMBER(F555),E555&gt;0,F555&gt;0),SQRT(3)*'Bulk Calculator'!O50*'Bulk Calculator'!U50*((E555*'Bulk Calculator'!M50)+(F555*SQRT(1-'Bulk Calculator'!M50^2)))/'Bulk Calculator'!J50/'Bulk Calculator'!K50*100,D555*'Bulk Calculator'!U50*'Bulk Calculator'!O50/'Bulk Calculator'!J50/'Bulk Calculator'!K50*100),"")</f>
        <v>0</v>
      </c>
      <c r="K555">
        <f>IFERROR(G555*B555*'Bulk Calculator'!J50/SQRT('Bulk Calculator'!S50)/1000,"")</f>
        <v>95.927316234740985</v>
      </c>
      <c r="L555">
        <f>IF(OR('Bulk Calculator'!R50="",'Bulk Calculator'!S50="",G555=""),0,IF(K555&gt;='Bulk Calculator'!R50,1,0))</f>
        <v>1</v>
      </c>
      <c r="M555">
        <f>IF(AND(H555=1,I555&lt;='OS-DORAEN'!$B$6,J555&lt;='OS-DORAEN'!$B$5,L555=1),1,0)</f>
        <v>1</v>
      </c>
      <c r="N555" t="str">
        <f t="shared" si="8"/>
        <v>R/X</v>
      </c>
    </row>
    <row r="556" spans="1:14" ht="15" customHeight="1" x14ac:dyDescent="0.35">
      <c r="A556">
        <v>50</v>
      </c>
      <c r="B556">
        <v>240</v>
      </c>
      <c r="C556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Master'!$F:$F,B556),"")</f>
        <v>399</v>
      </c>
      <c r="D556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Master'!$F:$F,B556),"")</f>
        <v>0.16200000000000001</v>
      </c>
      <c r="E556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Master'!$F:$F,B556),"")</f>
        <v>0.16200000000000001</v>
      </c>
      <c r="F556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Master'!$F:$F,B556),"")</f>
        <v>7.1999999999999995E-2</v>
      </c>
      <c r="G556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Master'!$F:$F,B556),"")</f>
        <v>143</v>
      </c>
      <c r="H556">
        <f>IF(AND(ISNUMBER(C556),C556&gt;='Bulk Calculator'!U50/('Bulk Calculator'!J50*'Bulk Calculator'!L50)),1,0)</f>
        <v>1</v>
      </c>
      <c r="I556">
        <f>IFERROR(IF(AND(ISNUMBER(E556),ISNUMBER(F556),E556&gt;0,F556&gt;0),SQRT(3)*'Bulk Calculator'!O50*'Bulk Calculator'!AA50*((E556*'Bulk Calculator'!Q50)+(F556*SQRT(1-'Bulk Calculator'!Q50^2)))/'Bulk Calculator'!J50/'Bulk Calculator'!K50*100,D556*'Bulk Calculator'!AA50*'Bulk Calculator'!O50/'Bulk Calculator'!J50/'Bulk Calculator'!K50*100),"")</f>
        <v>0</v>
      </c>
      <c r="J556">
        <f>IFERROR(IF(AND(ISNUMBER(E556),ISNUMBER(F556),E556&gt;0,F556&gt;0),SQRT(3)*'Bulk Calculator'!O50*'Bulk Calculator'!U50*((E556*'Bulk Calculator'!M50)+(F556*SQRT(1-'Bulk Calculator'!M50^2)))/'Bulk Calculator'!J50/'Bulk Calculator'!K50*100,D556*'Bulk Calculator'!U50*'Bulk Calculator'!O50/'Bulk Calculator'!J50/'Bulk Calculator'!K50*100),"")</f>
        <v>0</v>
      </c>
      <c r="K556">
        <f>IFERROR(G556*B556*'Bulk Calculator'!J50/SQRT('Bulk Calculator'!S50)/1000,"")</f>
        <v>76.741852987792782</v>
      </c>
      <c r="L556">
        <f>IF(OR('Bulk Calculator'!R50="",'Bulk Calculator'!S50="",G556=""),0,IF(K556&gt;='Bulk Calculator'!R50,1,0))</f>
        <v>1</v>
      </c>
      <c r="M556">
        <f>IF(AND(H556=1,I556&lt;='OS-DORAEN'!$B$6,J556&lt;='OS-DORAEN'!$B$5,L556=1),1,0)</f>
        <v>1</v>
      </c>
      <c r="N556" t="str">
        <f t="shared" si="8"/>
        <v>R/X</v>
      </c>
    </row>
    <row r="557" spans="1:14" ht="15" customHeight="1" x14ac:dyDescent="0.35">
      <c r="A557">
        <v>50</v>
      </c>
      <c r="B557">
        <v>185</v>
      </c>
      <c r="C557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Master'!$F:$F,B557),"")</f>
        <v>337</v>
      </c>
      <c r="D557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Master'!$F:$F,B557),"")</f>
        <v>0.21099999999999999</v>
      </c>
      <c r="E557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Master'!$F:$F,B557),"")</f>
        <v>0.21099999999999999</v>
      </c>
      <c r="F557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Master'!$F:$F,B557),"")</f>
        <v>7.1999999999999995E-2</v>
      </c>
      <c r="G557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Master'!$F:$F,B557),"")</f>
        <v>143</v>
      </c>
      <c r="H557">
        <f>IF(AND(ISNUMBER(C557),C557&gt;='Bulk Calculator'!U50/('Bulk Calculator'!J50*'Bulk Calculator'!L50)),1,0)</f>
        <v>1</v>
      </c>
      <c r="I557">
        <f>IFERROR(IF(AND(ISNUMBER(E557),ISNUMBER(F557),E557&gt;0,F557&gt;0),SQRT(3)*'Bulk Calculator'!O50*'Bulk Calculator'!AA50*((E557*'Bulk Calculator'!Q50)+(F557*SQRT(1-'Bulk Calculator'!Q50^2)))/'Bulk Calculator'!J50/'Bulk Calculator'!K50*100,D557*'Bulk Calculator'!AA50*'Bulk Calculator'!O50/'Bulk Calculator'!J50/'Bulk Calculator'!K50*100),"")</f>
        <v>0</v>
      </c>
      <c r="J557">
        <f>IFERROR(IF(AND(ISNUMBER(E557),ISNUMBER(F557),E557&gt;0,F557&gt;0),SQRT(3)*'Bulk Calculator'!O50*'Bulk Calculator'!U50*((E557*'Bulk Calculator'!M50)+(F557*SQRT(1-'Bulk Calculator'!M50^2)))/'Bulk Calculator'!J50/'Bulk Calculator'!K50*100,D557*'Bulk Calculator'!U50*'Bulk Calculator'!O50/'Bulk Calculator'!J50/'Bulk Calculator'!K50*100),"")</f>
        <v>0</v>
      </c>
      <c r="K557">
        <f>IFERROR(G557*B557*'Bulk Calculator'!J50/SQRT('Bulk Calculator'!S50)/1000,"")</f>
        <v>59.155178344756941</v>
      </c>
      <c r="L557">
        <f>IF(OR('Bulk Calculator'!R50="",'Bulk Calculator'!S50="",G557=""),0,IF(K557&gt;='Bulk Calculator'!R50,1,0))</f>
        <v>1</v>
      </c>
      <c r="M557">
        <f>IF(AND(H557=1,I557&lt;='OS-DORAEN'!$B$6,J557&lt;='OS-DORAEN'!$B$5,L557=1),1,0)</f>
        <v>1</v>
      </c>
      <c r="N557" t="str">
        <f t="shared" si="8"/>
        <v>R/X</v>
      </c>
    </row>
    <row r="558" spans="1:14" ht="15" customHeight="1" x14ac:dyDescent="0.35">
      <c r="A558">
        <v>50</v>
      </c>
      <c r="B558">
        <v>150</v>
      </c>
      <c r="C558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Master'!$F:$F,B558),"")</f>
        <v>292</v>
      </c>
      <c r="D558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Master'!$F:$F,B558),"")</f>
        <v>0.26500000000000001</v>
      </c>
      <c r="E558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Master'!$F:$F,B558),"")</f>
        <v>0.26500000000000001</v>
      </c>
      <c r="F558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Master'!$F:$F,B558),"")</f>
        <v>7.1999999999999995E-2</v>
      </c>
      <c r="G558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Master'!$F:$F,B558),"")</f>
        <v>143</v>
      </c>
      <c r="H558">
        <f>IF(AND(ISNUMBER(C558),C558&gt;='Bulk Calculator'!U50/('Bulk Calculator'!J50*'Bulk Calculator'!L50)),1,0)</f>
        <v>1</v>
      </c>
      <c r="I558">
        <f>IFERROR(IF(AND(ISNUMBER(E558),ISNUMBER(F558),E558&gt;0,F558&gt;0),SQRT(3)*'Bulk Calculator'!O50*'Bulk Calculator'!AA50*((E558*'Bulk Calculator'!Q50)+(F558*SQRT(1-'Bulk Calculator'!Q50^2)))/'Bulk Calculator'!J50/'Bulk Calculator'!K50*100,D558*'Bulk Calculator'!AA50*'Bulk Calculator'!O50/'Bulk Calculator'!J50/'Bulk Calculator'!K50*100),"")</f>
        <v>0</v>
      </c>
      <c r="J558">
        <f>IFERROR(IF(AND(ISNUMBER(E558),ISNUMBER(F558),E558&gt;0,F558&gt;0),SQRT(3)*'Bulk Calculator'!O50*'Bulk Calculator'!U50*((E558*'Bulk Calculator'!M50)+(F558*SQRT(1-'Bulk Calculator'!M50^2)))/'Bulk Calculator'!J50/'Bulk Calculator'!K50*100,D558*'Bulk Calculator'!U50*'Bulk Calculator'!O50/'Bulk Calculator'!J50/'Bulk Calculator'!K50*100),"")</f>
        <v>0</v>
      </c>
      <c r="K558">
        <f>IFERROR(G558*B558*'Bulk Calculator'!J50/SQRT('Bulk Calculator'!S50)/1000,"")</f>
        <v>47.963658117370493</v>
      </c>
      <c r="L558">
        <f>IF(OR('Bulk Calculator'!R50="",'Bulk Calculator'!S50="",G558=""),0,IF(K558&gt;='Bulk Calculator'!R50,1,0))</f>
        <v>1</v>
      </c>
      <c r="M558">
        <f>IF(AND(H558=1,I558&lt;='OS-DORAEN'!$B$6,J558&lt;='OS-DORAEN'!$B$5,L558=1),1,0)</f>
        <v>1</v>
      </c>
      <c r="N558" t="str">
        <f t="shared" si="8"/>
        <v>R/X</v>
      </c>
    </row>
    <row r="559" spans="1:14" ht="15" customHeight="1" x14ac:dyDescent="0.35">
      <c r="A559">
        <v>50</v>
      </c>
      <c r="B559">
        <v>120</v>
      </c>
      <c r="C559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Master'!$F:$F,B559),"")</f>
        <v>257</v>
      </c>
      <c r="D559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Master'!$F:$F,B559),"")</f>
        <v>0.32500000000000001</v>
      </c>
      <c r="E559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Master'!$F:$F,B559),"")</f>
        <v>0.32500000000000001</v>
      </c>
      <c r="F559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Master'!$F:$F,B559),"")</f>
        <v>7.1999999999999995E-2</v>
      </c>
      <c r="G559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Master'!$F:$F,B559),"")</f>
        <v>143</v>
      </c>
      <c r="H559">
        <f>IF(AND(ISNUMBER(C559),C559&gt;='Bulk Calculator'!U50/('Bulk Calculator'!J50*'Bulk Calculator'!L50)),1,0)</f>
        <v>1</v>
      </c>
      <c r="I559">
        <f>IFERROR(IF(AND(ISNUMBER(E559),ISNUMBER(F559),E559&gt;0,F559&gt;0),SQRT(3)*'Bulk Calculator'!O50*'Bulk Calculator'!AA50*((E559*'Bulk Calculator'!Q50)+(F559*SQRT(1-'Bulk Calculator'!Q50^2)))/'Bulk Calculator'!J50/'Bulk Calculator'!K50*100,D559*'Bulk Calculator'!AA50*'Bulk Calculator'!O50/'Bulk Calculator'!J50/'Bulk Calculator'!K50*100),"")</f>
        <v>0</v>
      </c>
      <c r="J559">
        <f>IFERROR(IF(AND(ISNUMBER(E559),ISNUMBER(F559),E559&gt;0,F559&gt;0),SQRT(3)*'Bulk Calculator'!O50*'Bulk Calculator'!U50*((E559*'Bulk Calculator'!M50)+(F559*SQRT(1-'Bulk Calculator'!M50^2)))/'Bulk Calculator'!J50/'Bulk Calculator'!K50*100,D559*'Bulk Calculator'!U50*'Bulk Calculator'!O50/'Bulk Calculator'!J50/'Bulk Calculator'!K50*100),"")</f>
        <v>0</v>
      </c>
      <c r="K559">
        <f>IFERROR(G559*B559*'Bulk Calculator'!J50/SQRT('Bulk Calculator'!S50)/1000,"")</f>
        <v>38.370926493896391</v>
      </c>
      <c r="L559">
        <f>IF(OR('Bulk Calculator'!R50="",'Bulk Calculator'!S50="",G559=""),0,IF(K559&gt;='Bulk Calculator'!R50,1,0))</f>
        <v>1</v>
      </c>
      <c r="M559">
        <f>IF(AND(H559=1,I559&lt;='OS-DORAEN'!$B$6,J559&lt;='OS-DORAEN'!$B$5,L559=1),1,0)</f>
        <v>1</v>
      </c>
      <c r="N559" t="str">
        <f t="shared" si="8"/>
        <v>R/X</v>
      </c>
    </row>
    <row r="560" spans="1:14" ht="15" customHeight="1" x14ac:dyDescent="0.35">
      <c r="A560">
        <v>50</v>
      </c>
      <c r="B560">
        <v>95</v>
      </c>
      <c r="C560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Master'!$F:$F,B560),"")</f>
        <v>221</v>
      </c>
      <c r="D560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Master'!$F:$F,B560),"")</f>
        <v>0.41</v>
      </c>
      <c r="E560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Master'!$F:$F,B560),"")</f>
        <v>0.41</v>
      </c>
      <c r="F560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Master'!$F:$F,B560),"")</f>
        <v>7.3999999999999996E-2</v>
      </c>
      <c r="G560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Master'!$F:$F,B560),"")</f>
        <v>143</v>
      </c>
      <c r="H560">
        <f>IF(AND(ISNUMBER(C560),C560&gt;='Bulk Calculator'!U50/('Bulk Calculator'!J50*'Bulk Calculator'!L50)),1,0)</f>
        <v>1</v>
      </c>
      <c r="I560">
        <f>IFERROR(IF(AND(ISNUMBER(E560),ISNUMBER(F560),E560&gt;0,F560&gt;0),SQRT(3)*'Bulk Calculator'!O50*'Bulk Calculator'!AA50*((E560*'Bulk Calculator'!Q50)+(F560*SQRT(1-'Bulk Calculator'!Q50^2)))/'Bulk Calculator'!J50/'Bulk Calculator'!K50*100,D560*'Bulk Calculator'!AA50*'Bulk Calculator'!O50/'Bulk Calculator'!J50/'Bulk Calculator'!K50*100),"")</f>
        <v>0</v>
      </c>
      <c r="J560">
        <f>IFERROR(IF(AND(ISNUMBER(E560),ISNUMBER(F560),E560&gt;0,F560&gt;0),SQRT(3)*'Bulk Calculator'!O50*'Bulk Calculator'!U50*((E560*'Bulk Calculator'!M50)+(F560*SQRT(1-'Bulk Calculator'!M50^2)))/'Bulk Calculator'!J50/'Bulk Calculator'!K50*100,D560*'Bulk Calculator'!U50*'Bulk Calculator'!O50/'Bulk Calculator'!J50/'Bulk Calculator'!K50*100),"")</f>
        <v>0</v>
      </c>
      <c r="K560">
        <f>IFERROR(G560*B560*'Bulk Calculator'!J50/SQRT('Bulk Calculator'!S50)/1000,"")</f>
        <v>30.376983474334644</v>
      </c>
      <c r="L560">
        <f>IF(OR('Bulk Calculator'!R50="",'Bulk Calculator'!S50="",G560=""),0,IF(K560&gt;='Bulk Calculator'!R50,1,0))</f>
        <v>1</v>
      </c>
      <c r="M560">
        <f>IF(AND(H560=1,I560&lt;='OS-DORAEN'!$B$6,J560&lt;='OS-DORAEN'!$B$5,L560=1),1,0)</f>
        <v>1</v>
      </c>
      <c r="N560" t="str">
        <f t="shared" si="8"/>
        <v>R/X</v>
      </c>
    </row>
    <row r="561" spans="1:14" ht="15" customHeight="1" x14ac:dyDescent="0.35">
      <c r="A561">
        <v>50</v>
      </c>
      <c r="B561">
        <v>70</v>
      </c>
      <c r="C561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Master'!$F:$F,B561),"")</f>
        <v>179</v>
      </c>
      <c r="D561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Master'!$F:$F,B561),"")</f>
        <v>0.56699999999999995</v>
      </c>
      <c r="E561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Master'!$F:$F,B561),"")</f>
        <v>0.56699999999999995</v>
      </c>
      <c r="F561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Master'!$F:$F,B561),"")</f>
        <v>7.6999999999999999E-2</v>
      </c>
      <c r="G561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Master'!$F:$F,B561),"")</f>
        <v>143</v>
      </c>
      <c r="H561">
        <f>IF(AND(ISNUMBER(C561),C561&gt;='Bulk Calculator'!U50/('Bulk Calculator'!J50*'Bulk Calculator'!L50)),1,0)</f>
        <v>1</v>
      </c>
      <c r="I561">
        <f>IFERROR(IF(AND(ISNUMBER(E561),ISNUMBER(F561),E561&gt;0,F561&gt;0),SQRT(3)*'Bulk Calculator'!O50*'Bulk Calculator'!AA50*((E561*'Bulk Calculator'!Q50)+(F561*SQRT(1-'Bulk Calculator'!Q50^2)))/'Bulk Calculator'!J50/'Bulk Calculator'!K50*100,D561*'Bulk Calculator'!AA50*'Bulk Calculator'!O50/'Bulk Calculator'!J50/'Bulk Calculator'!K50*100),"")</f>
        <v>0</v>
      </c>
      <c r="J561">
        <f>IFERROR(IF(AND(ISNUMBER(E561),ISNUMBER(F561),E561&gt;0,F561&gt;0),SQRT(3)*'Bulk Calculator'!O50*'Bulk Calculator'!U50*((E561*'Bulk Calculator'!M50)+(F561*SQRT(1-'Bulk Calculator'!M50^2)))/'Bulk Calculator'!J50/'Bulk Calculator'!K50*100,D561*'Bulk Calculator'!U50*'Bulk Calculator'!O50/'Bulk Calculator'!J50/'Bulk Calculator'!K50*100),"")</f>
        <v>0</v>
      </c>
      <c r="K561">
        <f>IFERROR(G561*B561*'Bulk Calculator'!J50/SQRT('Bulk Calculator'!S50)/1000,"")</f>
        <v>22.383040454772893</v>
      </c>
      <c r="L561">
        <f>IF(OR('Bulk Calculator'!R50="",'Bulk Calculator'!S50="",G561=""),0,IF(K561&gt;='Bulk Calculator'!R50,1,0))</f>
        <v>1</v>
      </c>
      <c r="M561">
        <f>IF(AND(H561=1,I561&lt;='OS-DORAEN'!$B$6,J561&lt;='OS-DORAEN'!$B$5,L561=1),1,0)</f>
        <v>1</v>
      </c>
      <c r="N561" t="str">
        <f t="shared" si="8"/>
        <v>R/X</v>
      </c>
    </row>
    <row r="562" spans="1:14" ht="15" customHeight="1" x14ac:dyDescent="0.35">
      <c r="A562">
        <v>50</v>
      </c>
      <c r="B562">
        <v>50</v>
      </c>
      <c r="C562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Master'!$F:$F,B562),"")</f>
        <v>142</v>
      </c>
      <c r="D562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Master'!$F:$F,B562),"")</f>
        <v>0.82</v>
      </c>
      <c r="E562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Master'!$F:$F,B562),"")</f>
        <v>0.82</v>
      </c>
      <c r="F562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Master'!$F:$F,B562),"")</f>
        <v>7.8E-2</v>
      </c>
      <c r="G562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Master'!$F:$F,B562),"")</f>
        <v>143</v>
      </c>
      <c r="H562">
        <f>IF(AND(ISNUMBER(C562),C562&gt;='Bulk Calculator'!U50/('Bulk Calculator'!J50*'Bulk Calculator'!L50)),1,0)</f>
        <v>1</v>
      </c>
      <c r="I562">
        <f>IFERROR(IF(AND(ISNUMBER(E562),ISNUMBER(F562),E562&gt;0,F562&gt;0),SQRT(3)*'Bulk Calculator'!O50*'Bulk Calculator'!AA50*((E562*'Bulk Calculator'!Q50)+(F562*SQRT(1-'Bulk Calculator'!Q50^2)))/'Bulk Calculator'!J50/'Bulk Calculator'!K50*100,D562*'Bulk Calculator'!AA50*'Bulk Calculator'!O50/'Bulk Calculator'!J50/'Bulk Calculator'!K50*100),"")</f>
        <v>0</v>
      </c>
      <c r="J562">
        <f>IFERROR(IF(AND(ISNUMBER(E562),ISNUMBER(F562),E562&gt;0,F562&gt;0),SQRT(3)*'Bulk Calculator'!O50*'Bulk Calculator'!U50*((E562*'Bulk Calculator'!M50)+(F562*SQRT(1-'Bulk Calculator'!M50^2)))/'Bulk Calculator'!J50/'Bulk Calculator'!K50*100,D562*'Bulk Calculator'!U50*'Bulk Calculator'!O50/'Bulk Calculator'!J50/'Bulk Calculator'!K50*100),"")</f>
        <v>0</v>
      </c>
      <c r="K562">
        <f>IFERROR(G562*B562*'Bulk Calculator'!J50/SQRT('Bulk Calculator'!S50)/1000,"")</f>
        <v>15.987886039123497</v>
      </c>
      <c r="L562">
        <f>IF(OR('Bulk Calculator'!R50="",'Bulk Calculator'!S50="",G562=""),0,IF(K562&gt;='Bulk Calculator'!R50,1,0))</f>
        <v>1</v>
      </c>
      <c r="M562">
        <f>IF(AND(H562=1,I562&lt;='OS-DORAEN'!$B$6,J562&lt;='OS-DORAEN'!$B$5,L562=1),1,0)</f>
        <v>1</v>
      </c>
      <c r="N562" t="str">
        <f t="shared" si="8"/>
        <v>R/X</v>
      </c>
    </row>
    <row r="563" spans="1:14" ht="15" customHeight="1" x14ac:dyDescent="0.35">
      <c r="A563">
        <v>50</v>
      </c>
      <c r="B563">
        <v>35</v>
      </c>
      <c r="C563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Master'!$F:$F,B563),"")</f>
        <v>117</v>
      </c>
      <c r="D563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Master'!$F:$F,B563),"")</f>
        <v>1.1100000000000001</v>
      </c>
      <c r="E563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Master'!$F:$F,B563),"")</f>
        <v>1.1100000000000001</v>
      </c>
      <c r="F563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Master'!$F:$F,B563),"")</f>
        <v>0.08</v>
      </c>
      <c r="G563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Master'!$F:$F,B563),"")</f>
        <v>143</v>
      </c>
      <c r="H563">
        <f>IF(AND(ISNUMBER(C563),C563&gt;='Bulk Calculator'!U50/('Bulk Calculator'!J50*'Bulk Calculator'!L50)),1,0)</f>
        <v>1</v>
      </c>
      <c r="I563">
        <f>IFERROR(IF(AND(ISNUMBER(E563),ISNUMBER(F563),E563&gt;0,F563&gt;0),SQRT(3)*'Bulk Calculator'!O50*'Bulk Calculator'!AA50*((E563*'Bulk Calculator'!Q50)+(F563*SQRT(1-'Bulk Calculator'!Q50^2)))/'Bulk Calculator'!J50/'Bulk Calculator'!K50*100,D563*'Bulk Calculator'!AA50*'Bulk Calculator'!O50/'Bulk Calculator'!J50/'Bulk Calculator'!K50*100),"")</f>
        <v>0</v>
      </c>
      <c r="J563">
        <f>IFERROR(IF(AND(ISNUMBER(E563),ISNUMBER(F563),E563&gt;0,F563&gt;0),SQRT(3)*'Bulk Calculator'!O50*'Bulk Calculator'!U50*((E563*'Bulk Calculator'!M50)+(F563*SQRT(1-'Bulk Calculator'!M50^2)))/'Bulk Calculator'!J50/'Bulk Calculator'!K50*100,D563*'Bulk Calculator'!U50*'Bulk Calculator'!O50/'Bulk Calculator'!J50/'Bulk Calculator'!K50*100),"")</f>
        <v>0</v>
      </c>
      <c r="K563">
        <f>IFERROR(G563*B563*'Bulk Calculator'!J50/SQRT('Bulk Calculator'!S50)/1000,"")</f>
        <v>11.191520227386446</v>
      </c>
      <c r="L563">
        <f>IF(OR('Bulk Calculator'!R50="",'Bulk Calculator'!S50="",G563=""),0,IF(K563&gt;='Bulk Calculator'!R50,1,0))</f>
        <v>1</v>
      </c>
      <c r="M563">
        <f>IF(AND(H563=1,I563&lt;='OS-DORAEN'!$B$6,J563&lt;='OS-DORAEN'!$B$5,L563=1),1,0)</f>
        <v>1</v>
      </c>
      <c r="N563" t="str">
        <f t="shared" si="8"/>
        <v>R/X</v>
      </c>
    </row>
    <row r="564" spans="1:14" ht="15" customHeight="1" x14ac:dyDescent="0.35">
      <c r="A564">
        <v>50</v>
      </c>
      <c r="B564">
        <v>25</v>
      </c>
      <c r="C564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Master'!$F:$F,B564),"")</f>
        <v>96</v>
      </c>
      <c r="D564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Master'!$F:$F,B564),"")</f>
        <v>1.54</v>
      </c>
      <c r="E564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Master'!$F:$F,B564),"")</f>
        <v>1.54</v>
      </c>
      <c r="F564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Master'!$F:$F,B564),"")</f>
        <v>0.08</v>
      </c>
      <c r="G564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Master'!$F:$F,B564),"")</f>
        <v>143</v>
      </c>
      <c r="H564">
        <f>IF(AND(ISNUMBER(C564),C564&gt;='Bulk Calculator'!U50/('Bulk Calculator'!J50*'Bulk Calculator'!L50)),1,0)</f>
        <v>1</v>
      </c>
      <c r="I564">
        <f>IFERROR(IF(AND(ISNUMBER(E564),ISNUMBER(F564),E564&gt;0,F564&gt;0),SQRT(3)*'Bulk Calculator'!O50*'Bulk Calculator'!AA50*((E564*'Bulk Calculator'!Q50)+(F564*SQRT(1-'Bulk Calculator'!Q50^2)))/'Bulk Calculator'!J50/'Bulk Calculator'!K50*100,D564*'Bulk Calculator'!AA50*'Bulk Calculator'!O50/'Bulk Calculator'!J50/'Bulk Calculator'!K50*100),"")</f>
        <v>0</v>
      </c>
      <c r="J564">
        <f>IFERROR(IF(AND(ISNUMBER(E564),ISNUMBER(F564),E564&gt;0,F564&gt;0),SQRT(3)*'Bulk Calculator'!O50*'Bulk Calculator'!U50*((E564*'Bulk Calculator'!M50)+(F564*SQRT(1-'Bulk Calculator'!M50^2)))/'Bulk Calculator'!J50/'Bulk Calculator'!K50*100,D564*'Bulk Calculator'!U50*'Bulk Calculator'!O50/'Bulk Calculator'!J50/'Bulk Calculator'!K50*100),"")</f>
        <v>0</v>
      </c>
      <c r="K564">
        <f>IFERROR(G564*B564*'Bulk Calculator'!J50/SQRT('Bulk Calculator'!S50)/1000,"")</f>
        <v>7.9939430195617485</v>
      </c>
      <c r="L564">
        <f>IF(OR('Bulk Calculator'!R50="",'Bulk Calculator'!S50="",G564=""),0,IF(K564&gt;='Bulk Calculator'!R50,1,0))</f>
        <v>1</v>
      </c>
      <c r="M564">
        <f>IF(AND(H564=1,I564&lt;='OS-DORAEN'!$B$6,J564&lt;='OS-DORAEN'!$B$5,L564=1),1,0)</f>
        <v>1</v>
      </c>
      <c r="N564" t="str">
        <f t="shared" si="8"/>
        <v>R/X</v>
      </c>
    </row>
    <row r="565" spans="1:14" ht="15" customHeight="1" x14ac:dyDescent="0.35">
      <c r="A565">
        <v>50</v>
      </c>
      <c r="B565">
        <v>16</v>
      </c>
      <c r="C565">
        <f>IFERROR(SUMIFS('Cable Data Master'!$G:$G,'Cable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Master'!$F:$F,B565),"")</f>
        <v>0</v>
      </c>
      <c r="D565">
        <f>IFERROR(SUMIFS('Cable Data Master'!$K:$K,'Cable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Master'!$F:$F,B565),"")</f>
        <v>0</v>
      </c>
      <c r="E565">
        <f>IFERROR(SUMIFS('Cable Data Master'!$H:$H,'Cable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Master'!$F:$F,B565),"")</f>
        <v>0</v>
      </c>
      <c r="F565">
        <f>IFERROR(SUMIFS('Cable Data Master'!$I:$I,'Cable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Master'!$F:$F,B565),"")</f>
        <v>0</v>
      </c>
      <c r="G565">
        <f>IFERROR(SUMIFS('Cable Data Master'!$J:$J,'Cable Data Master'!$A:$A,'Bulk Calculator'!$BF50,'Cable Data Master'!$B:$B,'Bulk Calculator'!$BG50,'Cable Data Master'!$C:$C,'Bulk Calculator'!$BH50,'Cable Data Master'!$D:$D,'Bulk Calculator'!$BI50,'Cable Data Master'!$E:$E,'Bulk Calculator'!$BJ50,'Cable Data Master'!$F:$F,B565),"")</f>
        <v>0</v>
      </c>
      <c r="H565">
        <f>IF(AND(ISNUMBER(C565),C565&gt;='Bulk Calculator'!U50/('Bulk Calculator'!J50*'Bulk Calculator'!L50)),1,0)</f>
        <v>1</v>
      </c>
      <c r="I565">
        <f>IFERROR(IF(AND(ISNUMBER(E565),ISNUMBER(F565),E565&gt;0,F565&gt;0),SQRT(3)*'Bulk Calculator'!O50*'Bulk Calculator'!AA50*((E565*'Bulk Calculator'!Q50)+(F565*SQRT(1-'Bulk Calculator'!Q50^2)))/'Bulk Calculator'!J50/'Bulk Calculator'!K50*100,D565*'Bulk Calculator'!AA50*'Bulk Calculator'!O50/'Bulk Calculator'!J50/'Bulk Calculator'!K50*100),"")</f>
        <v>0</v>
      </c>
      <c r="J565">
        <f>IFERROR(IF(AND(ISNUMBER(E565),ISNUMBER(F565),E565&gt;0,F565&gt;0),SQRT(3)*'Bulk Calculator'!O50*'Bulk Calculator'!U50*((E565*'Bulk Calculator'!M50)+(F565*SQRT(1-'Bulk Calculator'!M50^2)))/'Bulk Calculator'!J50/'Bulk Calculator'!K50*100,D565*'Bulk Calculator'!U50*'Bulk Calculator'!O50/'Bulk Calculator'!J50/'Bulk Calculator'!K50*100),"")</f>
        <v>0</v>
      </c>
      <c r="K565">
        <f>IFERROR(G565*B565*'Bulk Calculator'!J50/SQRT('Bulk Calculator'!S50)/1000,"")</f>
        <v>0</v>
      </c>
      <c r="L565">
        <f>IF(OR('Bulk Calculator'!R50="",'Bulk Calculator'!S50="",G565=""),0,IF(K565&gt;='Bulk Calculator'!R50,1,0))</f>
        <v>1</v>
      </c>
      <c r="M565">
        <f>IF(AND(H565=1,I565&lt;='OS-DORAEN'!$B$6,J565&lt;='OS-DORAEN'!$B$5,L565=1),1,0)</f>
        <v>1</v>
      </c>
      <c r="N565" t="str">
        <f t="shared" si="8"/>
        <v>Manufacturer VD Ref</v>
      </c>
    </row>
    <row r="566" spans="1:14" ht="15" customHeight="1" x14ac:dyDescent="0.35">
      <c r="A566">
        <v>51</v>
      </c>
      <c r="B566">
        <v>400</v>
      </c>
      <c r="C566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Master'!$F:$F,B566),"")</f>
        <v>530</v>
      </c>
      <c r="D566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Master'!$F:$F,B566),"")</f>
        <v>0.1023</v>
      </c>
      <c r="E566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Master'!$F:$F,B566),"")</f>
        <v>0.1023</v>
      </c>
      <c r="F566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Master'!$F:$F,B566),"")</f>
        <v>7.0000000000000007E-2</v>
      </c>
      <c r="G566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Master'!$F:$F,B566),"")</f>
        <v>143</v>
      </c>
      <c r="H566">
        <f>IF(AND(ISNUMBER(C566),C566&gt;='Bulk Calculator'!U51/('Bulk Calculator'!J51*'Bulk Calculator'!L51)),1,0)</f>
        <v>1</v>
      </c>
      <c r="I566">
        <f>IFERROR(IF(AND(ISNUMBER(E566),ISNUMBER(F566),E566&gt;0,F566&gt;0),SQRT(3)*'Bulk Calculator'!O51*'Bulk Calculator'!AA51*((E566*'Bulk Calculator'!Q51)+(F566*SQRT(1-'Bulk Calculator'!Q51^2)))/'Bulk Calculator'!J51/'Bulk Calculator'!K51*100,D566*'Bulk Calculator'!AA51*'Bulk Calculator'!O51/'Bulk Calculator'!J51/'Bulk Calculator'!K51*100),"")</f>
        <v>0</v>
      </c>
      <c r="J566">
        <f>IFERROR(IF(AND(ISNUMBER(E566),ISNUMBER(F566),E566&gt;0,F566&gt;0),SQRT(3)*'Bulk Calculator'!O51*'Bulk Calculator'!U51*((E566*'Bulk Calculator'!M51)+(F566*SQRT(1-'Bulk Calculator'!M51^2)))/'Bulk Calculator'!J51/'Bulk Calculator'!K51*100,D566*'Bulk Calculator'!U51*'Bulk Calculator'!O51/'Bulk Calculator'!J51/'Bulk Calculator'!K51*100),"")</f>
        <v>0</v>
      </c>
      <c r="K566">
        <f>IFERROR(G566*B566*'Bulk Calculator'!J51/SQRT('Bulk Calculator'!S51)/1000,"")</f>
        <v>127.90308831298798</v>
      </c>
      <c r="L566">
        <f>IF(OR('Bulk Calculator'!R51="",'Bulk Calculator'!S51="",G566=""),0,IF(K566&gt;='Bulk Calculator'!R51,1,0))</f>
        <v>1</v>
      </c>
      <c r="M566">
        <f>IF(AND(H566=1,I566&lt;='OS-DORAEN'!$B$6,J566&lt;='OS-DORAEN'!$B$5,L566=1),1,0)</f>
        <v>1</v>
      </c>
      <c r="N566" t="str">
        <f t="shared" si="8"/>
        <v>R/X</v>
      </c>
    </row>
    <row r="567" spans="1:14" ht="15" customHeight="1" x14ac:dyDescent="0.35">
      <c r="A567">
        <v>51</v>
      </c>
      <c r="B567">
        <v>300</v>
      </c>
      <c r="C567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Master'!$F:$F,B567),"")</f>
        <v>455</v>
      </c>
      <c r="D567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Master'!$F:$F,B567),"")</f>
        <v>0.13</v>
      </c>
      <c r="E567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Master'!$F:$F,B567),"")</f>
        <v>0.13</v>
      </c>
      <c r="F567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Master'!$F:$F,B567),"")</f>
        <v>7.0999999999999994E-2</v>
      </c>
      <c r="G567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Master'!$F:$F,B567),"")</f>
        <v>143</v>
      </c>
      <c r="H567">
        <f>IF(AND(ISNUMBER(C567),C567&gt;='Bulk Calculator'!U51/('Bulk Calculator'!J51*'Bulk Calculator'!L51)),1,0)</f>
        <v>1</v>
      </c>
      <c r="I567">
        <f>IFERROR(IF(AND(ISNUMBER(E567),ISNUMBER(F567),E567&gt;0,F567&gt;0),SQRT(3)*'Bulk Calculator'!O51*'Bulk Calculator'!AA51*((E567*'Bulk Calculator'!Q51)+(F567*SQRT(1-'Bulk Calculator'!Q51^2)))/'Bulk Calculator'!J51/'Bulk Calculator'!K51*100,D567*'Bulk Calculator'!AA51*'Bulk Calculator'!O51/'Bulk Calculator'!J51/'Bulk Calculator'!K51*100),"")</f>
        <v>0</v>
      </c>
      <c r="J567">
        <f>IFERROR(IF(AND(ISNUMBER(E567),ISNUMBER(F567),E567&gt;0,F567&gt;0),SQRT(3)*'Bulk Calculator'!O51*'Bulk Calculator'!U51*((E567*'Bulk Calculator'!M51)+(F567*SQRT(1-'Bulk Calculator'!M51^2)))/'Bulk Calculator'!J51/'Bulk Calculator'!K51*100,D567*'Bulk Calculator'!U51*'Bulk Calculator'!O51/'Bulk Calculator'!J51/'Bulk Calculator'!K51*100),"")</f>
        <v>0</v>
      </c>
      <c r="K567">
        <f>IFERROR(G567*B567*'Bulk Calculator'!J51/SQRT('Bulk Calculator'!S51)/1000,"")</f>
        <v>95.927316234740985</v>
      </c>
      <c r="L567">
        <f>IF(OR('Bulk Calculator'!R51="",'Bulk Calculator'!S51="",G567=""),0,IF(K567&gt;='Bulk Calculator'!R51,1,0))</f>
        <v>1</v>
      </c>
      <c r="M567">
        <f>IF(AND(H567=1,I567&lt;='OS-DORAEN'!$B$6,J567&lt;='OS-DORAEN'!$B$5,L567=1),1,0)</f>
        <v>1</v>
      </c>
      <c r="N567" t="str">
        <f t="shared" si="8"/>
        <v>R/X</v>
      </c>
    </row>
    <row r="568" spans="1:14" ht="15" customHeight="1" x14ac:dyDescent="0.35">
      <c r="A568">
        <v>51</v>
      </c>
      <c r="B568">
        <v>240</v>
      </c>
      <c r="C568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Master'!$F:$F,B568),"")</f>
        <v>399</v>
      </c>
      <c r="D568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Master'!$F:$F,B568),"")</f>
        <v>0.16200000000000001</v>
      </c>
      <c r="E568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Master'!$F:$F,B568),"")</f>
        <v>0.16200000000000001</v>
      </c>
      <c r="F568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Master'!$F:$F,B568),"")</f>
        <v>7.1999999999999995E-2</v>
      </c>
      <c r="G568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Master'!$F:$F,B568),"")</f>
        <v>143</v>
      </c>
      <c r="H568">
        <f>IF(AND(ISNUMBER(C568),C568&gt;='Bulk Calculator'!U51/('Bulk Calculator'!J51*'Bulk Calculator'!L51)),1,0)</f>
        <v>1</v>
      </c>
      <c r="I568">
        <f>IFERROR(IF(AND(ISNUMBER(E568),ISNUMBER(F568),E568&gt;0,F568&gt;0),SQRT(3)*'Bulk Calculator'!O51*'Bulk Calculator'!AA51*((E568*'Bulk Calculator'!Q51)+(F568*SQRT(1-'Bulk Calculator'!Q51^2)))/'Bulk Calculator'!J51/'Bulk Calculator'!K51*100,D568*'Bulk Calculator'!AA51*'Bulk Calculator'!O51/'Bulk Calculator'!J51/'Bulk Calculator'!K51*100),"")</f>
        <v>0</v>
      </c>
      <c r="J568">
        <f>IFERROR(IF(AND(ISNUMBER(E568),ISNUMBER(F568),E568&gt;0,F568&gt;0),SQRT(3)*'Bulk Calculator'!O51*'Bulk Calculator'!U51*((E568*'Bulk Calculator'!M51)+(F568*SQRT(1-'Bulk Calculator'!M51^2)))/'Bulk Calculator'!J51/'Bulk Calculator'!K51*100,D568*'Bulk Calculator'!U51*'Bulk Calculator'!O51/'Bulk Calculator'!J51/'Bulk Calculator'!K51*100),"")</f>
        <v>0</v>
      </c>
      <c r="K568">
        <f>IFERROR(G568*B568*'Bulk Calculator'!J51/SQRT('Bulk Calculator'!S51)/1000,"")</f>
        <v>76.741852987792782</v>
      </c>
      <c r="L568">
        <f>IF(OR('Bulk Calculator'!R51="",'Bulk Calculator'!S51="",G568=""),0,IF(K568&gt;='Bulk Calculator'!R51,1,0))</f>
        <v>1</v>
      </c>
      <c r="M568">
        <f>IF(AND(H568=1,I568&lt;='OS-DORAEN'!$B$6,J568&lt;='OS-DORAEN'!$B$5,L568=1),1,0)</f>
        <v>1</v>
      </c>
      <c r="N568" t="str">
        <f t="shared" si="8"/>
        <v>R/X</v>
      </c>
    </row>
    <row r="569" spans="1:14" ht="15" customHeight="1" x14ac:dyDescent="0.35">
      <c r="A569">
        <v>51</v>
      </c>
      <c r="B569">
        <v>185</v>
      </c>
      <c r="C569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Master'!$F:$F,B569),"")</f>
        <v>337</v>
      </c>
      <c r="D569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Master'!$F:$F,B569),"")</f>
        <v>0.21099999999999999</v>
      </c>
      <c r="E569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Master'!$F:$F,B569),"")</f>
        <v>0.21099999999999999</v>
      </c>
      <c r="F569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Master'!$F:$F,B569),"")</f>
        <v>7.1999999999999995E-2</v>
      </c>
      <c r="G569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Master'!$F:$F,B569),"")</f>
        <v>143</v>
      </c>
      <c r="H569">
        <f>IF(AND(ISNUMBER(C569),C569&gt;='Bulk Calculator'!U51/('Bulk Calculator'!J51*'Bulk Calculator'!L51)),1,0)</f>
        <v>1</v>
      </c>
      <c r="I569">
        <f>IFERROR(IF(AND(ISNUMBER(E569),ISNUMBER(F569),E569&gt;0,F569&gt;0),SQRT(3)*'Bulk Calculator'!O51*'Bulk Calculator'!AA51*((E569*'Bulk Calculator'!Q51)+(F569*SQRT(1-'Bulk Calculator'!Q51^2)))/'Bulk Calculator'!J51/'Bulk Calculator'!K51*100,D569*'Bulk Calculator'!AA51*'Bulk Calculator'!O51/'Bulk Calculator'!J51/'Bulk Calculator'!K51*100),"")</f>
        <v>0</v>
      </c>
      <c r="J569">
        <f>IFERROR(IF(AND(ISNUMBER(E569),ISNUMBER(F569),E569&gt;0,F569&gt;0),SQRT(3)*'Bulk Calculator'!O51*'Bulk Calculator'!U51*((E569*'Bulk Calculator'!M51)+(F569*SQRT(1-'Bulk Calculator'!M51^2)))/'Bulk Calculator'!J51/'Bulk Calculator'!K51*100,D569*'Bulk Calculator'!U51*'Bulk Calculator'!O51/'Bulk Calculator'!J51/'Bulk Calculator'!K51*100),"")</f>
        <v>0</v>
      </c>
      <c r="K569">
        <f>IFERROR(G569*B569*'Bulk Calculator'!J51/SQRT('Bulk Calculator'!S51)/1000,"")</f>
        <v>59.155178344756941</v>
      </c>
      <c r="L569">
        <f>IF(OR('Bulk Calculator'!R51="",'Bulk Calculator'!S51="",G569=""),0,IF(K569&gt;='Bulk Calculator'!R51,1,0))</f>
        <v>1</v>
      </c>
      <c r="M569">
        <f>IF(AND(H569=1,I569&lt;='OS-DORAEN'!$B$6,J569&lt;='OS-DORAEN'!$B$5,L569=1),1,0)</f>
        <v>1</v>
      </c>
      <c r="N569" t="str">
        <f t="shared" si="8"/>
        <v>R/X</v>
      </c>
    </row>
    <row r="570" spans="1:14" ht="15" customHeight="1" x14ac:dyDescent="0.35">
      <c r="A570">
        <v>51</v>
      </c>
      <c r="B570">
        <v>150</v>
      </c>
      <c r="C570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Master'!$F:$F,B570),"")</f>
        <v>292</v>
      </c>
      <c r="D570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Master'!$F:$F,B570),"")</f>
        <v>0.26500000000000001</v>
      </c>
      <c r="E570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Master'!$F:$F,B570),"")</f>
        <v>0.26500000000000001</v>
      </c>
      <c r="F570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Master'!$F:$F,B570),"")</f>
        <v>7.1999999999999995E-2</v>
      </c>
      <c r="G570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Master'!$F:$F,B570),"")</f>
        <v>143</v>
      </c>
      <c r="H570">
        <f>IF(AND(ISNUMBER(C570),C570&gt;='Bulk Calculator'!U51/('Bulk Calculator'!J51*'Bulk Calculator'!L51)),1,0)</f>
        <v>1</v>
      </c>
      <c r="I570">
        <f>IFERROR(IF(AND(ISNUMBER(E570),ISNUMBER(F570),E570&gt;0,F570&gt;0),SQRT(3)*'Bulk Calculator'!O51*'Bulk Calculator'!AA51*((E570*'Bulk Calculator'!Q51)+(F570*SQRT(1-'Bulk Calculator'!Q51^2)))/'Bulk Calculator'!J51/'Bulk Calculator'!K51*100,D570*'Bulk Calculator'!AA51*'Bulk Calculator'!O51/'Bulk Calculator'!J51/'Bulk Calculator'!K51*100),"")</f>
        <v>0</v>
      </c>
      <c r="J570">
        <f>IFERROR(IF(AND(ISNUMBER(E570),ISNUMBER(F570),E570&gt;0,F570&gt;0),SQRT(3)*'Bulk Calculator'!O51*'Bulk Calculator'!U51*((E570*'Bulk Calculator'!M51)+(F570*SQRT(1-'Bulk Calculator'!M51^2)))/'Bulk Calculator'!J51/'Bulk Calculator'!K51*100,D570*'Bulk Calculator'!U51*'Bulk Calculator'!O51/'Bulk Calculator'!J51/'Bulk Calculator'!K51*100),"")</f>
        <v>0</v>
      </c>
      <c r="K570">
        <f>IFERROR(G570*B570*'Bulk Calculator'!J51/SQRT('Bulk Calculator'!S51)/1000,"")</f>
        <v>47.963658117370493</v>
      </c>
      <c r="L570">
        <f>IF(OR('Bulk Calculator'!R51="",'Bulk Calculator'!S51="",G570=""),0,IF(K570&gt;='Bulk Calculator'!R51,1,0))</f>
        <v>1</v>
      </c>
      <c r="M570">
        <f>IF(AND(H570=1,I570&lt;='OS-DORAEN'!$B$6,J570&lt;='OS-DORAEN'!$B$5,L570=1),1,0)</f>
        <v>1</v>
      </c>
      <c r="N570" t="str">
        <f t="shared" si="8"/>
        <v>R/X</v>
      </c>
    </row>
    <row r="571" spans="1:14" ht="15" customHeight="1" x14ac:dyDescent="0.35">
      <c r="A571">
        <v>51</v>
      </c>
      <c r="B571">
        <v>120</v>
      </c>
      <c r="C571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Master'!$F:$F,B571),"")</f>
        <v>257</v>
      </c>
      <c r="D571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Master'!$F:$F,B571),"")</f>
        <v>0.32500000000000001</v>
      </c>
      <c r="E571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Master'!$F:$F,B571),"")</f>
        <v>0.32500000000000001</v>
      </c>
      <c r="F571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Master'!$F:$F,B571),"")</f>
        <v>7.1999999999999995E-2</v>
      </c>
      <c r="G571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Master'!$F:$F,B571),"")</f>
        <v>143</v>
      </c>
      <c r="H571">
        <f>IF(AND(ISNUMBER(C571),C571&gt;='Bulk Calculator'!U51/('Bulk Calculator'!J51*'Bulk Calculator'!L51)),1,0)</f>
        <v>1</v>
      </c>
      <c r="I571">
        <f>IFERROR(IF(AND(ISNUMBER(E571),ISNUMBER(F571),E571&gt;0,F571&gt;0),SQRT(3)*'Bulk Calculator'!O51*'Bulk Calculator'!AA51*((E571*'Bulk Calculator'!Q51)+(F571*SQRT(1-'Bulk Calculator'!Q51^2)))/'Bulk Calculator'!J51/'Bulk Calculator'!K51*100,D571*'Bulk Calculator'!AA51*'Bulk Calculator'!O51/'Bulk Calculator'!J51/'Bulk Calculator'!K51*100),"")</f>
        <v>0</v>
      </c>
      <c r="J571">
        <f>IFERROR(IF(AND(ISNUMBER(E571),ISNUMBER(F571),E571&gt;0,F571&gt;0),SQRT(3)*'Bulk Calculator'!O51*'Bulk Calculator'!U51*((E571*'Bulk Calculator'!M51)+(F571*SQRT(1-'Bulk Calculator'!M51^2)))/'Bulk Calculator'!J51/'Bulk Calculator'!K51*100,D571*'Bulk Calculator'!U51*'Bulk Calculator'!O51/'Bulk Calculator'!J51/'Bulk Calculator'!K51*100),"")</f>
        <v>0</v>
      </c>
      <c r="K571">
        <f>IFERROR(G571*B571*'Bulk Calculator'!J51/SQRT('Bulk Calculator'!S51)/1000,"")</f>
        <v>38.370926493896391</v>
      </c>
      <c r="L571">
        <f>IF(OR('Bulk Calculator'!R51="",'Bulk Calculator'!S51="",G571=""),0,IF(K571&gt;='Bulk Calculator'!R51,1,0))</f>
        <v>1</v>
      </c>
      <c r="M571">
        <f>IF(AND(H571=1,I571&lt;='OS-DORAEN'!$B$6,J571&lt;='OS-DORAEN'!$B$5,L571=1),1,0)</f>
        <v>1</v>
      </c>
      <c r="N571" t="str">
        <f t="shared" si="8"/>
        <v>R/X</v>
      </c>
    </row>
    <row r="572" spans="1:14" ht="15" customHeight="1" x14ac:dyDescent="0.35">
      <c r="A572">
        <v>51</v>
      </c>
      <c r="B572">
        <v>95</v>
      </c>
      <c r="C572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Master'!$F:$F,B572),"")</f>
        <v>221</v>
      </c>
      <c r="D572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Master'!$F:$F,B572),"")</f>
        <v>0.41</v>
      </c>
      <c r="E572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Master'!$F:$F,B572),"")</f>
        <v>0.41</v>
      </c>
      <c r="F572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Master'!$F:$F,B572),"")</f>
        <v>7.3999999999999996E-2</v>
      </c>
      <c r="G572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Master'!$F:$F,B572),"")</f>
        <v>143</v>
      </c>
      <c r="H572">
        <f>IF(AND(ISNUMBER(C572),C572&gt;='Bulk Calculator'!U51/('Bulk Calculator'!J51*'Bulk Calculator'!L51)),1,0)</f>
        <v>1</v>
      </c>
      <c r="I572">
        <f>IFERROR(IF(AND(ISNUMBER(E572),ISNUMBER(F572),E572&gt;0,F572&gt;0),SQRT(3)*'Bulk Calculator'!O51*'Bulk Calculator'!AA51*((E572*'Bulk Calculator'!Q51)+(F572*SQRT(1-'Bulk Calculator'!Q51^2)))/'Bulk Calculator'!J51/'Bulk Calculator'!K51*100,D572*'Bulk Calculator'!AA51*'Bulk Calculator'!O51/'Bulk Calculator'!J51/'Bulk Calculator'!K51*100),"")</f>
        <v>0</v>
      </c>
      <c r="J572">
        <f>IFERROR(IF(AND(ISNUMBER(E572),ISNUMBER(F572),E572&gt;0,F572&gt;0),SQRT(3)*'Bulk Calculator'!O51*'Bulk Calculator'!U51*((E572*'Bulk Calculator'!M51)+(F572*SQRT(1-'Bulk Calculator'!M51^2)))/'Bulk Calculator'!J51/'Bulk Calculator'!K51*100,D572*'Bulk Calculator'!U51*'Bulk Calculator'!O51/'Bulk Calculator'!J51/'Bulk Calculator'!K51*100),"")</f>
        <v>0</v>
      </c>
      <c r="K572">
        <f>IFERROR(G572*B572*'Bulk Calculator'!J51/SQRT('Bulk Calculator'!S51)/1000,"")</f>
        <v>30.376983474334644</v>
      </c>
      <c r="L572">
        <f>IF(OR('Bulk Calculator'!R51="",'Bulk Calculator'!S51="",G572=""),0,IF(K572&gt;='Bulk Calculator'!R51,1,0))</f>
        <v>1</v>
      </c>
      <c r="M572">
        <f>IF(AND(H572=1,I572&lt;='OS-DORAEN'!$B$6,J572&lt;='OS-DORAEN'!$B$5,L572=1),1,0)</f>
        <v>1</v>
      </c>
      <c r="N572" t="str">
        <f t="shared" si="8"/>
        <v>R/X</v>
      </c>
    </row>
    <row r="573" spans="1:14" ht="15" customHeight="1" x14ac:dyDescent="0.35">
      <c r="A573">
        <v>51</v>
      </c>
      <c r="B573">
        <v>70</v>
      </c>
      <c r="C573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Master'!$F:$F,B573),"")</f>
        <v>179</v>
      </c>
      <c r="D573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Master'!$F:$F,B573),"")</f>
        <v>0.56699999999999995</v>
      </c>
      <c r="E573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Master'!$F:$F,B573),"")</f>
        <v>0.56699999999999995</v>
      </c>
      <c r="F573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Master'!$F:$F,B573),"")</f>
        <v>7.6999999999999999E-2</v>
      </c>
      <c r="G573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Master'!$F:$F,B573),"")</f>
        <v>143</v>
      </c>
      <c r="H573">
        <f>IF(AND(ISNUMBER(C573),C573&gt;='Bulk Calculator'!U51/('Bulk Calculator'!J51*'Bulk Calculator'!L51)),1,0)</f>
        <v>1</v>
      </c>
      <c r="I573">
        <f>IFERROR(IF(AND(ISNUMBER(E573),ISNUMBER(F573),E573&gt;0,F573&gt;0),SQRT(3)*'Bulk Calculator'!O51*'Bulk Calculator'!AA51*((E573*'Bulk Calculator'!Q51)+(F573*SQRT(1-'Bulk Calculator'!Q51^2)))/'Bulk Calculator'!J51/'Bulk Calculator'!K51*100,D573*'Bulk Calculator'!AA51*'Bulk Calculator'!O51/'Bulk Calculator'!J51/'Bulk Calculator'!K51*100),"")</f>
        <v>0</v>
      </c>
      <c r="J573">
        <f>IFERROR(IF(AND(ISNUMBER(E573),ISNUMBER(F573),E573&gt;0,F573&gt;0),SQRT(3)*'Bulk Calculator'!O51*'Bulk Calculator'!U51*((E573*'Bulk Calculator'!M51)+(F573*SQRT(1-'Bulk Calculator'!M51^2)))/'Bulk Calculator'!J51/'Bulk Calculator'!K51*100,D573*'Bulk Calculator'!U51*'Bulk Calculator'!O51/'Bulk Calculator'!J51/'Bulk Calculator'!K51*100),"")</f>
        <v>0</v>
      </c>
      <c r="K573">
        <f>IFERROR(G573*B573*'Bulk Calculator'!J51/SQRT('Bulk Calculator'!S51)/1000,"")</f>
        <v>22.383040454772893</v>
      </c>
      <c r="L573">
        <f>IF(OR('Bulk Calculator'!R51="",'Bulk Calculator'!S51="",G573=""),0,IF(K573&gt;='Bulk Calculator'!R51,1,0))</f>
        <v>1</v>
      </c>
      <c r="M573">
        <f>IF(AND(H573=1,I573&lt;='OS-DORAEN'!$B$6,J573&lt;='OS-DORAEN'!$B$5,L573=1),1,0)</f>
        <v>1</v>
      </c>
      <c r="N573" t="str">
        <f t="shared" si="8"/>
        <v>R/X</v>
      </c>
    </row>
    <row r="574" spans="1:14" ht="15" customHeight="1" x14ac:dyDescent="0.35">
      <c r="A574">
        <v>51</v>
      </c>
      <c r="B574">
        <v>50</v>
      </c>
      <c r="C574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Master'!$F:$F,B574),"")</f>
        <v>142</v>
      </c>
      <c r="D574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Master'!$F:$F,B574),"")</f>
        <v>0.82</v>
      </c>
      <c r="E574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Master'!$F:$F,B574),"")</f>
        <v>0.82</v>
      </c>
      <c r="F574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Master'!$F:$F,B574),"")</f>
        <v>7.8E-2</v>
      </c>
      <c r="G574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Master'!$F:$F,B574),"")</f>
        <v>143</v>
      </c>
      <c r="H574">
        <f>IF(AND(ISNUMBER(C574),C574&gt;='Bulk Calculator'!U51/('Bulk Calculator'!J51*'Bulk Calculator'!L51)),1,0)</f>
        <v>1</v>
      </c>
      <c r="I574">
        <f>IFERROR(IF(AND(ISNUMBER(E574),ISNUMBER(F574),E574&gt;0,F574&gt;0),SQRT(3)*'Bulk Calculator'!O51*'Bulk Calculator'!AA51*((E574*'Bulk Calculator'!Q51)+(F574*SQRT(1-'Bulk Calculator'!Q51^2)))/'Bulk Calculator'!J51/'Bulk Calculator'!K51*100,D574*'Bulk Calculator'!AA51*'Bulk Calculator'!O51/'Bulk Calculator'!J51/'Bulk Calculator'!K51*100),"")</f>
        <v>0</v>
      </c>
      <c r="J574">
        <f>IFERROR(IF(AND(ISNUMBER(E574),ISNUMBER(F574),E574&gt;0,F574&gt;0),SQRT(3)*'Bulk Calculator'!O51*'Bulk Calculator'!U51*((E574*'Bulk Calculator'!M51)+(F574*SQRT(1-'Bulk Calculator'!M51^2)))/'Bulk Calculator'!J51/'Bulk Calculator'!K51*100,D574*'Bulk Calculator'!U51*'Bulk Calculator'!O51/'Bulk Calculator'!J51/'Bulk Calculator'!K51*100),"")</f>
        <v>0</v>
      </c>
      <c r="K574">
        <f>IFERROR(G574*B574*'Bulk Calculator'!J51/SQRT('Bulk Calculator'!S51)/1000,"")</f>
        <v>15.987886039123497</v>
      </c>
      <c r="L574">
        <f>IF(OR('Bulk Calculator'!R51="",'Bulk Calculator'!S51="",G574=""),0,IF(K574&gt;='Bulk Calculator'!R51,1,0))</f>
        <v>1</v>
      </c>
      <c r="M574">
        <f>IF(AND(H574=1,I574&lt;='OS-DORAEN'!$B$6,J574&lt;='OS-DORAEN'!$B$5,L574=1),1,0)</f>
        <v>1</v>
      </c>
      <c r="N574" t="str">
        <f t="shared" si="8"/>
        <v>R/X</v>
      </c>
    </row>
    <row r="575" spans="1:14" ht="15" customHeight="1" x14ac:dyDescent="0.35">
      <c r="A575">
        <v>51</v>
      </c>
      <c r="B575">
        <v>35</v>
      </c>
      <c r="C575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Master'!$F:$F,B575),"")</f>
        <v>117</v>
      </c>
      <c r="D575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Master'!$F:$F,B575),"")</f>
        <v>1.1100000000000001</v>
      </c>
      <c r="E575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Master'!$F:$F,B575),"")</f>
        <v>1.1100000000000001</v>
      </c>
      <c r="F575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Master'!$F:$F,B575),"")</f>
        <v>0.08</v>
      </c>
      <c r="G575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Master'!$F:$F,B575),"")</f>
        <v>143</v>
      </c>
      <c r="H575">
        <f>IF(AND(ISNUMBER(C575),C575&gt;='Bulk Calculator'!U51/('Bulk Calculator'!J51*'Bulk Calculator'!L51)),1,0)</f>
        <v>1</v>
      </c>
      <c r="I575">
        <f>IFERROR(IF(AND(ISNUMBER(E575),ISNUMBER(F575),E575&gt;0,F575&gt;0),SQRT(3)*'Bulk Calculator'!O51*'Bulk Calculator'!AA51*((E575*'Bulk Calculator'!Q51)+(F575*SQRT(1-'Bulk Calculator'!Q51^2)))/'Bulk Calculator'!J51/'Bulk Calculator'!K51*100,D575*'Bulk Calculator'!AA51*'Bulk Calculator'!O51/'Bulk Calculator'!J51/'Bulk Calculator'!K51*100),"")</f>
        <v>0</v>
      </c>
      <c r="J575">
        <f>IFERROR(IF(AND(ISNUMBER(E575),ISNUMBER(F575),E575&gt;0,F575&gt;0),SQRT(3)*'Bulk Calculator'!O51*'Bulk Calculator'!U51*((E575*'Bulk Calculator'!M51)+(F575*SQRT(1-'Bulk Calculator'!M51^2)))/'Bulk Calculator'!J51/'Bulk Calculator'!K51*100,D575*'Bulk Calculator'!U51*'Bulk Calculator'!O51/'Bulk Calculator'!J51/'Bulk Calculator'!K51*100),"")</f>
        <v>0</v>
      </c>
      <c r="K575">
        <f>IFERROR(G575*B575*'Bulk Calculator'!J51/SQRT('Bulk Calculator'!S51)/1000,"")</f>
        <v>11.191520227386446</v>
      </c>
      <c r="L575">
        <f>IF(OR('Bulk Calculator'!R51="",'Bulk Calculator'!S51="",G575=""),0,IF(K575&gt;='Bulk Calculator'!R51,1,0))</f>
        <v>1</v>
      </c>
      <c r="M575">
        <f>IF(AND(H575=1,I575&lt;='OS-DORAEN'!$B$6,J575&lt;='OS-DORAEN'!$B$5,L575=1),1,0)</f>
        <v>1</v>
      </c>
      <c r="N575" t="str">
        <f t="shared" si="8"/>
        <v>R/X</v>
      </c>
    </row>
    <row r="576" spans="1:14" ht="15" customHeight="1" x14ac:dyDescent="0.35">
      <c r="A576">
        <v>51</v>
      </c>
      <c r="B576">
        <v>25</v>
      </c>
      <c r="C576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Master'!$F:$F,B576),"")</f>
        <v>96</v>
      </c>
      <c r="D576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Master'!$F:$F,B576),"")</f>
        <v>1.54</v>
      </c>
      <c r="E576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Master'!$F:$F,B576),"")</f>
        <v>1.54</v>
      </c>
      <c r="F576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Master'!$F:$F,B576),"")</f>
        <v>0.08</v>
      </c>
      <c r="G576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Master'!$F:$F,B576),"")</f>
        <v>143</v>
      </c>
      <c r="H576">
        <f>IF(AND(ISNUMBER(C576),C576&gt;='Bulk Calculator'!U51/('Bulk Calculator'!J51*'Bulk Calculator'!L51)),1,0)</f>
        <v>1</v>
      </c>
      <c r="I576">
        <f>IFERROR(IF(AND(ISNUMBER(E576),ISNUMBER(F576),E576&gt;0,F576&gt;0),SQRT(3)*'Bulk Calculator'!O51*'Bulk Calculator'!AA51*((E576*'Bulk Calculator'!Q51)+(F576*SQRT(1-'Bulk Calculator'!Q51^2)))/'Bulk Calculator'!J51/'Bulk Calculator'!K51*100,D576*'Bulk Calculator'!AA51*'Bulk Calculator'!O51/'Bulk Calculator'!J51/'Bulk Calculator'!K51*100),"")</f>
        <v>0</v>
      </c>
      <c r="J576">
        <f>IFERROR(IF(AND(ISNUMBER(E576),ISNUMBER(F576),E576&gt;0,F576&gt;0),SQRT(3)*'Bulk Calculator'!O51*'Bulk Calculator'!U51*((E576*'Bulk Calculator'!M51)+(F576*SQRT(1-'Bulk Calculator'!M51^2)))/'Bulk Calculator'!J51/'Bulk Calculator'!K51*100,D576*'Bulk Calculator'!U51*'Bulk Calculator'!O51/'Bulk Calculator'!J51/'Bulk Calculator'!K51*100),"")</f>
        <v>0</v>
      </c>
      <c r="K576">
        <f>IFERROR(G576*B576*'Bulk Calculator'!J51/SQRT('Bulk Calculator'!S51)/1000,"")</f>
        <v>7.9939430195617485</v>
      </c>
      <c r="L576">
        <f>IF(OR('Bulk Calculator'!R51="",'Bulk Calculator'!S51="",G576=""),0,IF(K576&gt;='Bulk Calculator'!R51,1,0))</f>
        <v>1</v>
      </c>
      <c r="M576">
        <f>IF(AND(H576=1,I576&lt;='OS-DORAEN'!$B$6,J576&lt;='OS-DORAEN'!$B$5,L576=1),1,0)</f>
        <v>1</v>
      </c>
      <c r="N576" t="str">
        <f t="shared" si="8"/>
        <v>R/X</v>
      </c>
    </row>
    <row r="577" spans="1:14" ht="15" customHeight="1" x14ac:dyDescent="0.35">
      <c r="A577">
        <v>51</v>
      </c>
      <c r="B577">
        <v>16</v>
      </c>
      <c r="C577">
        <f>IFERROR(SUMIFS('Cable Data Master'!$G:$G,'Cable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Master'!$F:$F,B577),"")</f>
        <v>0</v>
      </c>
      <c r="D577">
        <f>IFERROR(SUMIFS('Cable Data Master'!$K:$K,'Cable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Master'!$F:$F,B577),"")</f>
        <v>0</v>
      </c>
      <c r="E577">
        <f>IFERROR(SUMIFS('Cable Data Master'!$H:$H,'Cable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Master'!$F:$F,B577),"")</f>
        <v>0</v>
      </c>
      <c r="F577">
        <f>IFERROR(SUMIFS('Cable Data Master'!$I:$I,'Cable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Master'!$F:$F,B577),"")</f>
        <v>0</v>
      </c>
      <c r="G577">
        <f>IFERROR(SUMIFS('Cable Data Master'!$J:$J,'Cable Data Master'!$A:$A,'Bulk Calculator'!$BF51,'Cable Data Master'!$B:$B,'Bulk Calculator'!$BG51,'Cable Data Master'!$C:$C,'Bulk Calculator'!$BH51,'Cable Data Master'!$D:$D,'Bulk Calculator'!$BI51,'Cable Data Master'!$E:$E,'Bulk Calculator'!$BJ51,'Cable Data Master'!$F:$F,B577),"")</f>
        <v>0</v>
      </c>
      <c r="H577">
        <f>IF(AND(ISNUMBER(C577),C577&gt;='Bulk Calculator'!U51/('Bulk Calculator'!J51*'Bulk Calculator'!L51)),1,0)</f>
        <v>1</v>
      </c>
      <c r="I577">
        <f>IFERROR(IF(AND(ISNUMBER(E577),ISNUMBER(F577),E577&gt;0,F577&gt;0),SQRT(3)*'Bulk Calculator'!O51*'Bulk Calculator'!AA51*((E577*'Bulk Calculator'!Q51)+(F577*SQRT(1-'Bulk Calculator'!Q51^2)))/'Bulk Calculator'!J51/'Bulk Calculator'!K51*100,D577*'Bulk Calculator'!AA51*'Bulk Calculator'!O51/'Bulk Calculator'!J51/'Bulk Calculator'!K51*100),"")</f>
        <v>0</v>
      </c>
      <c r="J577">
        <f>IFERROR(IF(AND(ISNUMBER(E577),ISNUMBER(F577),E577&gt;0,F577&gt;0),SQRT(3)*'Bulk Calculator'!O51*'Bulk Calculator'!U51*((E577*'Bulk Calculator'!M51)+(F577*SQRT(1-'Bulk Calculator'!M51^2)))/'Bulk Calculator'!J51/'Bulk Calculator'!K51*100,D577*'Bulk Calculator'!U51*'Bulk Calculator'!O51/'Bulk Calculator'!J51/'Bulk Calculator'!K51*100),"")</f>
        <v>0</v>
      </c>
      <c r="K577">
        <f>IFERROR(G577*B577*'Bulk Calculator'!J51/SQRT('Bulk Calculator'!S51)/1000,"")</f>
        <v>0</v>
      </c>
      <c r="L577">
        <f>IF(OR('Bulk Calculator'!R51="",'Bulk Calculator'!S51="",G577=""),0,IF(K577&gt;='Bulk Calculator'!R51,1,0))</f>
        <v>1</v>
      </c>
      <c r="M577">
        <f>IF(AND(H577=1,I577&lt;='OS-DORAEN'!$B$6,J577&lt;='OS-DORAEN'!$B$5,L577=1),1,0)</f>
        <v>1</v>
      </c>
      <c r="N577" t="str">
        <f t="shared" si="8"/>
        <v>Manufacturer VD Ref</v>
      </c>
    </row>
    <row r="578" spans="1:14" ht="15" customHeight="1" x14ac:dyDescent="0.35">
      <c r="A578">
        <v>52</v>
      </c>
      <c r="B578">
        <v>400</v>
      </c>
      <c r="C578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Master'!$F:$F,B578),"")</f>
        <v>530</v>
      </c>
      <c r="D578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Master'!$F:$F,B578),"")</f>
        <v>0.1023</v>
      </c>
      <c r="E578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Master'!$F:$F,B578),"")</f>
        <v>0.1023</v>
      </c>
      <c r="F578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Master'!$F:$F,B578),"")</f>
        <v>7.0000000000000007E-2</v>
      </c>
      <c r="G578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Master'!$F:$F,B578),"")</f>
        <v>143</v>
      </c>
      <c r="H578">
        <f>IF(AND(ISNUMBER(C578),C578&gt;='Bulk Calculator'!U52/('Bulk Calculator'!J52*'Bulk Calculator'!L52)),1,0)</f>
        <v>1</v>
      </c>
      <c r="I578">
        <f>IFERROR(IF(AND(ISNUMBER(E578),ISNUMBER(F578),E578&gt;0,F578&gt;0),SQRT(3)*'Bulk Calculator'!O52*'Bulk Calculator'!AA52*((E578*'Bulk Calculator'!Q52)+(F578*SQRT(1-'Bulk Calculator'!Q52^2)))/'Bulk Calculator'!J52/'Bulk Calculator'!K52*100,D578*'Bulk Calculator'!AA52*'Bulk Calculator'!O52/'Bulk Calculator'!J52/'Bulk Calculator'!K52*100),"")</f>
        <v>0</v>
      </c>
      <c r="J578">
        <f>IFERROR(IF(AND(ISNUMBER(E578),ISNUMBER(F578),E578&gt;0,F578&gt;0),SQRT(3)*'Bulk Calculator'!O52*'Bulk Calculator'!U52*((E578*'Bulk Calculator'!M52)+(F578*SQRT(1-'Bulk Calculator'!M52^2)))/'Bulk Calculator'!J52/'Bulk Calculator'!K52*100,D578*'Bulk Calculator'!U52*'Bulk Calculator'!O52/'Bulk Calculator'!J52/'Bulk Calculator'!K52*100),"")</f>
        <v>0</v>
      </c>
      <c r="K578">
        <f>IFERROR(G578*B578*'Bulk Calculator'!J52/SQRT('Bulk Calculator'!S52)/1000,"")</f>
        <v>127.90308831298798</v>
      </c>
      <c r="L578">
        <f>IF(OR('Bulk Calculator'!R52="",'Bulk Calculator'!S52="",G578=""),0,IF(K578&gt;='Bulk Calculator'!R52,1,0))</f>
        <v>1</v>
      </c>
      <c r="M578">
        <f>IF(AND(H578=1,I578&lt;='OS-DORAEN'!$B$6,J578&lt;='OS-DORAEN'!$B$5,L578=1),1,0)</f>
        <v>1</v>
      </c>
      <c r="N578" t="str">
        <f t="shared" ref="N578:N641" si="9">IF(AND(ISNUMBER(E578),ISNUMBER(F578),E578&gt;0,F578&gt;0),"R/X","Manufacturer VD Ref")</f>
        <v>R/X</v>
      </c>
    </row>
    <row r="579" spans="1:14" ht="15" customHeight="1" x14ac:dyDescent="0.35">
      <c r="A579">
        <v>52</v>
      </c>
      <c r="B579">
        <v>300</v>
      </c>
      <c r="C579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Master'!$F:$F,B579),"")</f>
        <v>455</v>
      </c>
      <c r="D579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Master'!$F:$F,B579),"")</f>
        <v>0.13</v>
      </c>
      <c r="E579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Master'!$F:$F,B579),"")</f>
        <v>0.13</v>
      </c>
      <c r="F579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Master'!$F:$F,B579),"")</f>
        <v>7.0999999999999994E-2</v>
      </c>
      <c r="G579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Master'!$F:$F,B579),"")</f>
        <v>143</v>
      </c>
      <c r="H579">
        <f>IF(AND(ISNUMBER(C579),C579&gt;='Bulk Calculator'!U52/('Bulk Calculator'!J52*'Bulk Calculator'!L52)),1,0)</f>
        <v>1</v>
      </c>
      <c r="I579">
        <f>IFERROR(IF(AND(ISNUMBER(E579),ISNUMBER(F579),E579&gt;0,F579&gt;0),SQRT(3)*'Bulk Calculator'!O52*'Bulk Calculator'!AA52*((E579*'Bulk Calculator'!Q52)+(F579*SQRT(1-'Bulk Calculator'!Q52^2)))/'Bulk Calculator'!J52/'Bulk Calculator'!K52*100,D579*'Bulk Calculator'!AA52*'Bulk Calculator'!O52/'Bulk Calculator'!J52/'Bulk Calculator'!K52*100),"")</f>
        <v>0</v>
      </c>
      <c r="J579">
        <f>IFERROR(IF(AND(ISNUMBER(E579),ISNUMBER(F579),E579&gt;0,F579&gt;0),SQRT(3)*'Bulk Calculator'!O52*'Bulk Calculator'!U52*((E579*'Bulk Calculator'!M52)+(F579*SQRT(1-'Bulk Calculator'!M52^2)))/'Bulk Calculator'!J52/'Bulk Calculator'!K52*100,D579*'Bulk Calculator'!U52*'Bulk Calculator'!O52/'Bulk Calculator'!J52/'Bulk Calculator'!K52*100),"")</f>
        <v>0</v>
      </c>
      <c r="K579">
        <f>IFERROR(G579*B579*'Bulk Calculator'!J52/SQRT('Bulk Calculator'!S52)/1000,"")</f>
        <v>95.927316234740985</v>
      </c>
      <c r="L579">
        <f>IF(OR('Bulk Calculator'!R52="",'Bulk Calculator'!S52="",G579=""),0,IF(K579&gt;='Bulk Calculator'!R52,1,0))</f>
        <v>1</v>
      </c>
      <c r="M579">
        <f>IF(AND(H579=1,I579&lt;='OS-DORAEN'!$B$6,J579&lt;='OS-DORAEN'!$B$5,L579=1),1,0)</f>
        <v>1</v>
      </c>
      <c r="N579" t="str">
        <f t="shared" si="9"/>
        <v>R/X</v>
      </c>
    </row>
    <row r="580" spans="1:14" ht="15" customHeight="1" x14ac:dyDescent="0.35">
      <c r="A580">
        <v>52</v>
      </c>
      <c r="B580">
        <v>240</v>
      </c>
      <c r="C580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Master'!$F:$F,B580),"")</f>
        <v>399</v>
      </c>
      <c r="D580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Master'!$F:$F,B580),"")</f>
        <v>0.16200000000000001</v>
      </c>
      <c r="E580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Master'!$F:$F,B580),"")</f>
        <v>0.16200000000000001</v>
      </c>
      <c r="F580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Master'!$F:$F,B580),"")</f>
        <v>7.1999999999999995E-2</v>
      </c>
      <c r="G580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Master'!$F:$F,B580),"")</f>
        <v>143</v>
      </c>
      <c r="H580">
        <f>IF(AND(ISNUMBER(C580),C580&gt;='Bulk Calculator'!U52/('Bulk Calculator'!J52*'Bulk Calculator'!L52)),1,0)</f>
        <v>1</v>
      </c>
      <c r="I580">
        <f>IFERROR(IF(AND(ISNUMBER(E580),ISNUMBER(F580),E580&gt;0,F580&gt;0),SQRT(3)*'Bulk Calculator'!O52*'Bulk Calculator'!AA52*((E580*'Bulk Calculator'!Q52)+(F580*SQRT(1-'Bulk Calculator'!Q52^2)))/'Bulk Calculator'!J52/'Bulk Calculator'!K52*100,D580*'Bulk Calculator'!AA52*'Bulk Calculator'!O52/'Bulk Calculator'!J52/'Bulk Calculator'!K52*100),"")</f>
        <v>0</v>
      </c>
      <c r="J580">
        <f>IFERROR(IF(AND(ISNUMBER(E580),ISNUMBER(F580),E580&gt;0,F580&gt;0),SQRT(3)*'Bulk Calculator'!O52*'Bulk Calculator'!U52*((E580*'Bulk Calculator'!M52)+(F580*SQRT(1-'Bulk Calculator'!M52^2)))/'Bulk Calculator'!J52/'Bulk Calculator'!K52*100,D580*'Bulk Calculator'!U52*'Bulk Calculator'!O52/'Bulk Calculator'!J52/'Bulk Calculator'!K52*100),"")</f>
        <v>0</v>
      </c>
      <c r="K580">
        <f>IFERROR(G580*B580*'Bulk Calculator'!J52/SQRT('Bulk Calculator'!S52)/1000,"")</f>
        <v>76.741852987792782</v>
      </c>
      <c r="L580">
        <f>IF(OR('Bulk Calculator'!R52="",'Bulk Calculator'!S52="",G580=""),0,IF(K580&gt;='Bulk Calculator'!R52,1,0))</f>
        <v>1</v>
      </c>
      <c r="M580">
        <f>IF(AND(H580=1,I580&lt;='OS-DORAEN'!$B$6,J580&lt;='OS-DORAEN'!$B$5,L580=1),1,0)</f>
        <v>1</v>
      </c>
      <c r="N580" t="str">
        <f t="shared" si="9"/>
        <v>R/X</v>
      </c>
    </row>
    <row r="581" spans="1:14" ht="15" customHeight="1" x14ac:dyDescent="0.35">
      <c r="A581">
        <v>52</v>
      </c>
      <c r="B581">
        <v>185</v>
      </c>
      <c r="C581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Master'!$F:$F,B581),"")</f>
        <v>337</v>
      </c>
      <c r="D581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Master'!$F:$F,B581),"")</f>
        <v>0.21099999999999999</v>
      </c>
      <c r="E581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Master'!$F:$F,B581),"")</f>
        <v>0.21099999999999999</v>
      </c>
      <c r="F581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Master'!$F:$F,B581),"")</f>
        <v>7.1999999999999995E-2</v>
      </c>
      <c r="G581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Master'!$F:$F,B581),"")</f>
        <v>143</v>
      </c>
      <c r="H581">
        <f>IF(AND(ISNUMBER(C581),C581&gt;='Bulk Calculator'!U52/('Bulk Calculator'!J52*'Bulk Calculator'!L52)),1,0)</f>
        <v>1</v>
      </c>
      <c r="I581">
        <f>IFERROR(IF(AND(ISNUMBER(E581),ISNUMBER(F581),E581&gt;0,F581&gt;0),SQRT(3)*'Bulk Calculator'!O52*'Bulk Calculator'!AA52*((E581*'Bulk Calculator'!Q52)+(F581*SQRT(1-'Bulk Calculator'!Q52^2)))/'Bulk Calculator'!J52/'Bulk Calculator'!K52*100,D581*'Bulk Calculator'!AA52*'Bulk Calculator'!O52/'Bulk Calculator'!J52/'Bulk Calculator'!K52*100),"")</f>
        <v>0</v>
      </c>
      <c r="J581">
        <f>IFERROR(IF(AND(ISNUMBER(E581),ISNUMBER(F581),E581&gt;0,F581&gt;0),SQRT(3)*'Bulk Calculator'!O52*'Bulk Calculator'!U52*((E581*'Bulk Calculator'!M52)+(F581*SQRT(1-'Bulk Calculator'!M52^2)))/'Bulk Calculator'!J52/'Bulk Calculator'!K52*100,D581*'Bulk Calculator'!U52*'Bulk Calculator'!O52/'Bulk Calculator'!J52/'Bulk Calculator'!K52*100),"")</f>
        <v>0</v>
      </c>
      <c r="K581">
        <f>IFERROR(G581*B581*'Bulk Calculator'!J52/SQRT('Bulk Calculator'!S52)/1000,"")</f>
        <v>59.155178344756941</v>
      </c>
      <c r="L581">
        <f>IF(OR('Bulk Calculator'!R52="",'Bulk Calculator'!S52="",G581=""),0,IF(K581&gt;='Bulk Calculator'!R52,1,0))</f>
        <v>1</v>
      </c>
      <c r="M581">
        <f>IF(AND(H581=1,I581&lt;='OS-DORAEN'!$B$6,J581&lt;='OS-DORAEN'!$B$5,L581=1),1,0)</f>
        <v>1</v>
      </c>
      <c r="N581" t="str">
        <f t="shared" si="9"/>
        <v>R/X</v>
      </c>
    </row>
    <row r="582" spans="1:14" ht="15" customHeight="1" x14ac:dyDescent="0.35">
      <c r="A582">
        <v>52</v>
      </c>
      <c r="B582">
        <v>150</v>
      </c>
      <c r="C582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Master'!$F:$F,B582),"")</f>
        <v>292</v>
      </c>
      <c r="D582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Master'!$F:$F,B582),"")</f>
        <v>0.26500000000000001</v>
      </c>
      <c r="E582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Master'!$F:$F,B582),"")</f>
        <v>0.26500000000000001</v>
      </c>
      <c r="F582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Master'!$F:$F,B582),"")</f>
        <v>7.1999999999999995E-2</v>
      </c>
      <c r="G582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Master'!$F:$F,B582),"")</f>
        <v>143</v>
      </c>
      <c r="H582">
        <f>IF(AND(ISNUMBER(C582),C582&gt;='Bulk Calculator'!U52/('Bulk Calculator'!J52*'Bulk Calculator'!L52)),1,0)</f>
        <v>1</v>
      </c>
      <c r="I582">
        <f>IFERROR(IF(AND(ISNUMBER(E582),ISNUMBER(F582),E582&gt;0,F582&gt;0),SQRT(3)*'Bulk Calculator'!O52*'Bulk Calculator'!AA52*((E582*'Bulk Calculator'!Q52)+(F582*SQRT(1-'Bulk Calculator'!Q52^2)))/'Bulk Calculator'!J52/'Bulk Calculator'!K52*100,D582*'Bulk Calculator'!AA52*'Bulk Calculator'!O52/'Bulk Calculator'!J52/'Bulk Calculator'!K52*100),"")</f>
        <v>0</v>
      </c>
      <c r="J582">
        <f>IFERROR(IF(AND(ISNUMBER(E582),ISNUMBER(F582),E582&gt;0,F582&gt;0),SQRT(3)*'Bulk Calculator'!O52*'Bulk Calculator'!U52*((E582*'Bulk Calculator'!M52)+(F582*SQRT(1-'Bulk Calculator'!M52^2)))/'Bulk Calculator'!J52/'Bulk Calculator'!K52*100,D582*'Bulk Calculator'!U52*'Bulk Calculator'!O52/'Bulk Calculator'!J52/'Bulk Calculator'!K52*100),"")</f>
        <v>0</v>
      </c>
      <c r="K582">
        <f>IFERROR(G582*B582*'Bulk Calculator'!J52/SQRT('Bulk Calculator'!S52)/1000,"")</f>
        <v>47.963658117370493</v>
      </c>
      <c r="L582">
        <f>IF(OR('Bulk Calculator'!R52="",'Bulk Calculator'!S52="",G582=""),0,IF(K582&gt;='Bulk Calculator'!R52,1,0))</f>
        <v>1</v>
      </c>
      <c r="M582">
        <f>IF(AND(H582=1,I582&lt;='OS-DORAEN'!$B$6,J582&lt;='OS-DORAEN'!$B$5,L582=1),1,0)</f>
        <v>1</v>
      </c>
      <c r="N582" t="str">
        <f t="shared" si="9"/>
        <v>R/X</v>
      </c>
    </row>
    <row r="583" spans="1:14" ht="15" customHeight="1" x14ac:dyDescent="0.35">
      <c r="A583">
        <v>52</v>
      </c>
      <c r="B583">
        <v>120</v>
      </c>
      <c r="C583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Master'!$F:$F,B583),"")</f>
        <v>257</v>
      </c>
      <c r="D583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Master'!$F:$F,B583),"")</f>
        <v>0.32500000000000001</v>
      </c>
      <c r="E583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Master'!$F:$F,B583),"")</f>
        <v>0.32500000000000001</v>
      </c>
      <c r="F583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Master'!$F:$F,B583),"")</f>
        <v>7.1999999999999995E-2</v>
      </c>
      <c r="G583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Master'!$F:$F,B583),"")</f>
        <v>143</v>
      </c>
      <c r="H583">
        <f>IF(AND(ISNUMBER(C583),C583&gt;='Bulk Calculator'!U52/('Bulk Calculator'!J52*'Bulk Calculator'!L52)),1,0)</f>
        <v>1</v>
      </c>
      <c r="I583">
        <f>IFERROR(IF(AND(ISNUMBER(E583),ISNUMBER(F583),E583&gt;0,F583&gt;0),SQRT(3)*'Bulk Calculator'!O52*'Bulk Calculator'!AA52*((E583*'Bulk Calculator'!Q52)+(F583*SQRT(1-'Bulk Calculator'!Q52^2)))/'Bulk Calculator'!J52/'Bulk Calculator'!K52*100,D583*'Bulk Calculator'!AA52*'Bulk Calculator'!O52/'Bulk Calculator'!J52/'Bulk Calculator'!K52*100),"")</f>
        <v>0</v>
      </c>
      <c r="J583">
        <f>IFERROR(IF(AND(ISNUMBER(E583),ISNUMBER(F583),E583&gt;0,F583&gt;0),SQRT(3)*'Bulk Calculator'!O52*'Bulk Calculator'!U52*((E583*'Bulk Calculator'!M52)+(F583*SQRT(1-'Bulk Calculator'!M52^2)))/'Bulk Calculator'!J52/'Bulk Calculator'!K52*100,D583*'Bulk Calculator'!U52*'Bulk Calculator'!O52/'Bulk Calculator'!J52/'Bulk Calculator'!K52*100),"")</f>
        <v>0</v>
      </c>
      <c r="K583">
        <f>IFERROR(G583*B583*'Bulk Calculator'!J52/SQRT('Bulk Calculator'!S52)/1000,"")</f>
        <v>38.370926493896391</v>
      </c>
      <c r="L583">
        <f>IF(OR('Bulk Calculator'!R52="",'Bulk Calculator'!S52="",G583=""),0,IF(K583&gt;='Bulk Calculator'!R52,1,0))</f>
        <v>1</v>
      </c>
      <c r="M583">
        <f>IF(AND(H583=1,I583&lt;='OS-DORAEN'!$B$6,J583&lt;='OS-DORAEN'!$B$5,L583=1),1,0)</f>
        <v>1</v>
      </c>
      <c r="N583" t="str">
        <f t="shared" si="9"/>
        <v>R/X</v>
      </c>
    </row>
    <row r="584" spans="1:14" ht="15" customHeight="1" x14ac:dyDescent="0.35">
      <c r="A584">
        <v>52</v>
      </c>
      <c r="B584">
        <v>95</v>
      </c>
      <c r="C584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Master'!$F:$F,B584),"")</f>
        <v>221</v>
      </c>
      <c r="D584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Master'!$F:$F,B584),"")</f>
        <v>0.41</v>
      </c>
      <c r="E584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Master'!$F:$F,B584),"")</f>
        <v>0.41</v>
      </c>
      <c r="F584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Master'!$F:$F,B584),"")</f>
        <v>7.3999999999999996E-2</v>
      </c>
      <c r="G584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Master'!$F:$F,B584),"")</f>
        <v>143</v>
      </c>
      <c r="H584">
        <f>IF(AND(ISNUMBER(C584),C584&gt;='Bulk Calculator'!U52/('Bulk Calculator'!J52*'Bulk Calculator'!L52)),1,0)</f>
        <v>1</v>
      </c>
      <c r="I584">
        <f>IFERROR(IF(AND(ISNUMBER(E584),ISNUMBER(F584),E584&gt;0,F584&gt;0),SQRT(3)*'Bulk Calculator'!O52*'Bulk Calculator'!AA52*((E584*'Bulk Calculator'!Q52)+(F584*SQRT(1-'Bulk Calculator'!Q52^2)))/'Bulk Calculator'!J52/'Bulk Calculator'!K52*100,D584*'Bulk Calculator'!AA52*'Bulk Calculator'!O52/'Bulk Calculator'!J52/'Bulk Calculator'!K52*100),"")</f>
        <v>0</v>
      </c>
      <c r="J584">
        <f>IFERROR(IF(AND(ISNUMBER(E584),ISNUMBER(F584),E584&gt;0,F584&gt;0),SQRT(3)*'Bulk Calculator'!O52*'Bulk Calculator'!U52*((E584*'Bulk Calculator'!M52)+(F584*SQRT(1-'Bulk Calculator'!M52^2)))/'Bulk Calculator'!J52/'Bulk Calculator'!K52*100,D584*'Bulk Calculator'!U52*'Bulk Calculator'!O52/'Bulk Calculator'!J52/'Bulk Calculator'!K52*100),"")</f>
        <v>0</v>
      </c>
      <c r="K584">
        <f>IFERROR(G584*B584*'Bulk Calculator'!J52/SQRT('Bulk Calculator'!S52)/1000,"")</f>
        <v>30.376983474334644</v>
      </c>
      <c r="L584">
        <f>IF(OR('Bulk Calculator'!R52="",'Bulk Calculator'!S52="",G584=""),0,IF(K584&gt;='Bulk Calculator'!R52,1,0))</f>
        <v>1</v>
      </c>
      <c r="M584">
        <f>IF(AND(H584=1,I584&lt;='OS-DORAEN'!$B$6,J584&lt;='OS-DORAEN'!$B$5,L584=1),1,0)</f>
        <v>1</v>
      </c>
      <c r="N584" t="str">
        <f t="shared" si="9"/>
        <v>R/X</v>
      </c>
    </row>
    <row r="585" spans="1:14" ht="15" customHeight="1" x14ac:dyDescent="0.35">
      <c r="A585">
        <v>52</v>
      </c>
      <c r="B585">
        <v>70</v>
      </c>
      <c r="C585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Master'!$F:$F,B585),"")</f>
        <v>179</v>
      </c>
      <c r="D585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Master'!$F:$F,B585),"")</f>
        <v>0.56699999999999995</v>
      </c>
      <c r="E585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Master'!$F:$F,B585),"")</f>
        <v>0.56699999999999995</v>
      </c>
      <c r="F585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Master'!$F:$F,B585),"")</f>
        <v>7.6999999999999999E-2</v>
      </c>
      <c r="G585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Master'!$F:$F,B585),"")</f>
        <v>143</v>
      </c>
      <c r="H585">
        <f>IF(AND(ISNUMBER(C585),C585&gt;='Bulk Calculator'!U52/('Bulk Calculator'!J52*'Bulk Calculator'!L52)),1,0)</f>
        <v>1</v>
      </c>
      <c r="I585">
        <f>IFERROR(IF(AND(ISNUMBER(E585),ISNUMBER(F585),E585&gt;0,F585&gt;0),SQRT(3)*'Bulk Calculator'!O52*'Bulk Calculator'!AA52*((E585*'Bulk Calculator'!Q52)+(F585*SQRT(1-'Bulk Calculator'!Q52^2)))/'Bulk Calculator'!J52/'Bulk Calculator'!K52*100,D585*'Bulk Calculator'!AA52*'Bulk Calculator'!O52/'Bulk Calculator'!J52/'Bulk Calculator'!K52*100),"")</f>
        <v>0</v>
      </c>
      <c r="J585">
        <f>IFERROR(IF(AND(ISNUMBER(E585),ISNUMBER(F585),E585&gt;0,F585&gt;0),SQRT(3)*'Bulk Calculator'!O52*'Bulk Calculator'!U52*((E585*'Bulk Calculator'!M52)+(F585*SQRT(1-'Bulk Calculator'!M52^2)))/'Bulk Calculator'!J52/'Bulk Calculator'!K52*100,D585*'Bulk Calculator'!U52*'Bulk Calculator'!O52/'Bulk Calculator'!J52/'Bulk Calculator'!K52*100),"")</f>
        <v>0</v>
      </c>
      <c r="K585">
        <f>IFERROR(G585*B585*'Bulk Calculator'!J52/SQRT('Bulk Calculator'!S52)/1000,"")</f>
        <v>22.383040454772893</v>
      </c>
      <c r="L585">
        <f>IF(OR('Bulk Calculator'!R52="",'Bulk Calculator'!S52="",G585=""),0,IF(K585&gt;='Bulk Calculator'!R52,1,0))</f>
        <v>1</v>
      </c>
      <c r="M585">
        <f>IF(AND(H585=1,I585&lt;='OS-DORAEN'!$B$6,J585&lt;='OS-DORAEN'!$B$5,L585=1),1,0)</f>
        <v>1</v>
      </c>
      <c r="N585" t="str">
        <f t="shared" si="9"/>
        <v>R/X</v>
      </c>
    </row>
    <row r="586" spans="1:14" ht="15" customHeight="1" x14ac:dyDescent="0.35">
      <c r="A586">
        <v>52</v>
      </c>
      <c r="B586">
        <v>50</v>
      </c>
      <c r="C586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Master'!$F:$F,B586),"")</f>
        <v>142</v>
      </c>
      <c r="D586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Master'!$F:$F,B586),"")</f>
        <v>0.82</v>
      </c>
      <c r="E586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Master'!$F:$F,B586),"")</f>
        <v>0.82</v>
      </c>
      <c r="F586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Master'!$F:$F,B586),"")</f>
        <v>7.8E-2</v>
      </c>
      <c r="G586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Master'!$F:$F,B586),"")</f>
        <v>143</v>
      </c>
      <c r="H586">
        <f>IF(AND(ISNUMBER(C586),C586&gt;='Bulk Calculator'!U52/('Bulk Calculator'!J52*'Bulk Calculator'!L52)),1,0)</f>
        <v>1</v>
      </c>
      <c r="I586">
        <f>IFERROR(IF(AND(ISNUMBER(E586),ISNUMBER(F586),E586&gt;0,F586&gt;0),SQRT(3)*'Bulk Calculator'!O52*'Bulk Calculator'!AA52*((E586*'Bulk Calculator'!Q52)+(F586*SQRT(1-'Bulk Calculator'!Q52^2)))/'Bulk Calculator'!J52/'Bulk Calculator'!K52*100,D586*'Bulk Calculator'!AA52*'Bulk Calculator'!O52/'Bulk Calculator'!J52/'Bulk Calculator'!K52*100),"")</f>
        <v>0</v>
      </c>
      <c r="J586">
        <f>IFERROR(IF(AND(ISNUMBER(E586),ISNUMBER(F586),E586&gt;0,F586&gt;0),SQRT(3)*'Bulk Calculator'!O52*'Bulk Calculator'!U52*((E586*'Bulk Calculator'!M52)+(F586*SQRT(1-'Bulk Calculator'!M52^2)))/'Bulk Calculator'!J52/'Bulk Calculator'!K52*100,D586*'Bulk Calculator'!U52*'Bulk Calculator'!O52/'Bulk Calculator'!J52/'Bulk Calculator'!K52*100),"")</f>
        <v>0</v>
      </c>
      <c r="K586">
        <f>IFERROR(G586*B586*'Bulk Calculator'!J52/SQRT('Bulk Calculator'!S52)/1000,"")</f>
        <v>15.987886039123497</v>
      </c>
      <c r="L586">
        <f>IF(OR('Bulk Calculator'!R52="",'Bulk Calculator'!S52="",G586=""),0,IF(K586&gt;='Bulk Calculator'!R52,1,0))</f>
        <v>1</v>
      </c>
      <c r="M586">
        <f>IF(AND(H586=1,I586&lt;='OS-DORAEN'!$B$6,J586&lt;='OS-DORAEN'!$B$5,L586=1),1,0)</f>
        <v>1</v>
      </c>
      <c r="N586" t="str">
        <f t="shared" si="9"/>
        <v>R/X</v>
      </c>
    </row>
    <row r="587" spans="1:14" ht="15" customHeight="1" x14ac:dyDescent="0.35">
      <c r="A587">
        <v>52</v>
      </c>
      <c r="B587">
        <v>35</v>
      </c>
      <c r="C587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Master'!$F:$F,B587),"")</f>
        <v>117</v>
      </c>
      <c r="D587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Master'!$F:$F,B587),"")</f>
        <v>1.1100000000000001</v>
      </c>
      <c r="E587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Master'!$F:$F,B587),"")</f>
        <v>1.1100000000000001</v>
      </c>
      <c r="F587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Master'!$F:$F,B587),"")</f>
        <v>0.08</v>
      </c>
      <c r="G587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Master'!$F:$F,B587),"")</f>
        <v>143</v>
      </c>
      <c r="H587">
        <f>IF(AND(ISNUMBER(C587),C587&gt;='Bulk Calculator'!U52/('Bulk Calculator'!J52*'Bulk Calculator'!L52)),1,0)</f>
        <v>1</v>
      </c>
      <c r="I587">
        <f>IFERROR(IF(AND(ISNUMBER(E587),ISNUMBER(F587),E587&gt;0,F587&gt;0),SQRT(3)*'Bulk Calculator'!O52*'Bulk Calculator'!AA52*((E587*'Bulk Calculator'!Q52)+(F587*SQRT(1-'Bulk Calculator'!Q52^2)))/'Bulk Calculator'!J52/'Bulk Calculator'!K52*100,D587*'Bulk Calculator'!AA52*'Bulk Calculator'!O52/'Bulk Calculator'!J52/'Bulk Calculator'!K52*100),"")</f>
        <v>0</v>
      </c>
      <c r="J587">
        <f>IFERROR(IF(AND(ISNUMBER(E587),ISNUMBER(F587),E587&gt;0,F587&gt;0),SQRT(3)*'Bulk Calculator'!O52*'Bulk Calculator'!U52*((E587*'Bulk Calculator'!M52)+(F587*SQRT(1-'Bulk Calculator'!M52^2)))/'Bulk Calculator'!J52/'Bulk Calculator'!K52*100,D587*'Bulk Calculator'!U52*'Bulk Calculator'!O52/'Bulk Calculator'!J52/'Bulk Calculator'!K52*100),"")</f>
        <v>0</v>
      </c>
      <c r="K587">
        <f>IFERROR(G587*B587*'Bulk Calculator'!J52/SQRT('Bulk Calculator'!S52)/1000,"")</f>
        <v>11.191520227386446</v>
      </c>
      <c r="L587">
        <f>IF(OR('Bulk Calculator'!R52="",'Bulk Calculator'!S52="",G587=""),0,IF(K587&gt;='Bulk Calculator'!R52,1,0))</f>
        <v>1</v>
      </c>
      <c r="M587">
        <f>IF(AND(H587=1,I587&lt;='OS-DORAEN'!$B$6,J587&lt;='OS-DORAEN'!$B$5,L587=1),1,0)</f>
        <v>1</v>
      </c>
      <c r="N587" t="str">
        <f t="shared" si="9"/>
        <v>R/X</v>
      </c>
    </row>
    <row r="588" spans="1:14" ht="15" customHeight="1" x14ac:dyDescent="0.35">
      <c r="A588">
        <v>52</v>
      </c>
      <c r="B588">
        <v>25</v>
      </c>
      <c r="C588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Master'!$F:$F,B588),"")</f>
        <v>96</v>
      </c>
      <c r="D588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Master'!$F:$F,B588),"")</f>
        <v>1.54</v>
      </c>
      <c r="E588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Master'!$F:$F,B588),"")</f>
        <v>1.54</v>
      </c>
      <c r="F588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Master'!$F:$F,B588),"")</f>
        <v>0.08</v>
      </c>
      <c r="G588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Master'!$F:$F,B588),"")</f>
        <v>143</v>
      </c>
      <c r="H588">
        <f>IF(AND(ISNUMBER(C588),C588&gt;='Bulk Calculator'!U52/('Bulk Calculator'!J52*'Bulk Calculator'!L52)),1,0)</f>
        <v>1</v>
      </c>
      <c r="I588">
        <f>IFERROR(IF(AND(ISNUMBER(E588),ISNUMBER(F588),E588&gt;0,F588&gt;0),SQRT(3)*'Bulk Calculator'!O52*'Bulk Calculator'!AA52*((E588*'Bulk Calculator'!Q52)+(F588*SQRT(1-'Bulk Calculator'!Q52^2)))/'Bulk Calculator'!J52/'Bulk Calculator'!K52*100,D588*'Bulk Calculator'!AA52*'Bulk Calculator'!O52/'Bulk Calculator'!J52/'Bulk Calculator'!K52*100),"")</f>
        <v>0</v>
      </c>
      <c r="J588">
        <f>IFERROR(IF(AND(ISNUMBER(E588),ISNUMBER(F588),E588&gt;0,F588&gt;0),SQRT(3)*'Bulk Calculator'!O52*'Bulk Calculator'!U52*((E588*'Bulk Calculator'!M52)+(F588*SQRT(1-'Bulk Calculator'!M52^2)))/'Bulk Calculator'!J52/'Bulk Calculator'!K52*100,D588*'Bulk Calculator'!U52*'Bulk Calculator'!O52/'Bulk Calculator'!J52/'Bulk Calculator'!K52*100),"")</f>
        <v>0</v>
      </c>
      <c r="K588">
        <f>IFERROR(G588*B588*'Bulk Calculator'!J52/SQRT('Bulk Calculator'!S52)/1000,"")</f>
        <v>7.9939430195617485</v>
      </c>
      <c r="L588">
        <f>IF(OR('Bulk Calculator'!R52="",'Bulk Calculator'!S52="",G588=""),0,IF(K588&gt;='Bulk Calculator'!R52,1,0))</f>
        <v>1</v>
      </c>
      <c r="M588">
        <f>IF(AND(H588=1,I588&lt;='OS-DORAEN'!$B$6,J588&lt;='OS-DORAEN'!$B$5,L588=1),1,0)</f>
        <v>1</v>
      </c>
      <c r="N588" t="str">
        <f t="shared" si="9"/>
        <v>R/X</v>
      </c>
    </row>
    <row r="589" spans="1:14" ht="15" customHeight="1" x14ac:dyDescent="0.35">
      <c r="A589">
        <v>52</v>
      </c>
      <c r="B589">
        <v>16</v>
      </c>
      <c r="C589">
        <f>IFERROR(SUMIFS('Cable Data Master'!$G:$G,'Cable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Master'!$F:$F,B589),"")</f>
        <v>0</v>
      </c>
      <c r="D589">
        <f>IFERROR(SUMIFS('Cable Data Master'!$K:$K,'Cable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Master'!$F:$F,B589),"")</f>
        <v>0</v>
      </c>
      <c r="E589">
        <f>IFERROR(SUMIFS('Cable Data Master'!$H:$H,'Cable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Master'!$F:$F,B589),"")</f>
        <v>0</v>
      </c>
      <c r="F589">
        <f>IFERROR(SUMIFS('Cable Data Master'!$I:$I,'Cable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Master'!$F:$F,B589),"")</f>
        <v>0</v>
      </c>
      <c r="G589">
        <f>IFERROR(SUMIFS('Cable Data Master'!$J:$J,'Cable Data Master'!$A:$A,'Bulk Calculator'!$BF52,'Cable Data Master'!$B:$B,'Bulk Calculator'!$BG52,'Cable Data Master'!$C:$C,'Bulk Calculator'!$BH52,'Cable Data Master'!$D:$D,'Bulk Calculator'!$BI52,'Cable Data Master'!$E:$E,'Bulk Calculator'!$BJ52,'Cable Data Master'!$F:$F,B589),"")</f>
        <v>0</v>
      </c>
      <c r="H589">
        <f>IF(AND(ISNUMBER(C589),C589&gt;='Bulk Calculator'!U52/('Bulk Calculator'!J52*'Bulk Calculator'!L52)),1,0)</f>
        <v>1</v>
      </c>
      <c r="I589">
        <f>IFERROR(IF(AND(ISNUMBER(E589),ISNUMBER(F589),E589&gt;0,F589&gt;0),SQRT(3)*'Bulk Calculator'!O52*'Bulk Calculator'!AA52*((E589*'Bulk Calculator'!Q52)+(F589*SQRT(1-'Bulk Calculator'!Q52^2)))/'Bulk Calculator'!J52/'Bulk Calculator'!K52*100,D589*'Bulk Calculator'!AA52*'Bulk Calculator'!O52/'Bulk Calculator'!J52/'Bulk Calculator'!K52*100),"")</f>
        <v>0</v>
      </c>
      <c r="J589">
        <f>IFERROR(IF(AND(ISNUMBER(E589),ISNUMBER(F589),E589&gt;0,F589&gt;0),SQRT(3)*'Bulk Calculator'!O52*'Bulk Calculator'!U52*((E589*'Bulk Calculator'!M52)+(F589*SQRT(1-'Bulk Calculator'!M52^2)))/'Bulk Calculator'!J52/'Bulk Calculator'!K52*100,D589*'Bulk Calculator'!U52*'Bulk Calculator'!O52/'Bulk Calculator'!J52/'Bulk Calculator'!K52*100),"")</f>
        <v>0</v>
      </c>
      <c r="K589">
        <f>IFERROR(G589*B589*'Bulk Calculator'!J52/SQRT('Bulk Calculator'!S52)/1000,"")</f>
        <v>0</v>
      </c>
      <c r="L589">
        <f>IF(OR('Bulk Calculator'!R52="",'Bulk Calculator'!S52="",G589=""),0,IF(K589&gt;='Bulk Calculator'!R52,1,0))</f>
        <v>1</v>
      </c>
      <c r="M589">
        <f>IF(AND(H589=1,I589&lt;='OS-DORAEN'!$B$6,J589&lt;='OS-DORAEN'!$B$5,L589=1),1,0)</f>
        <v>1</v>
      </c>
      <c r="N589" t="str">
        <f t="shared" si="9"/>
        <v>Manufacturer VD Ref</v>
      </c>
    </row>
    <row r="590" spans="1:14" ht="15" customHeight="1" x14ac:dyDescent="0.35">
      <c r="A590">
        <v>53</v>
      </c>
      <c r="B590">
        <v>400</v>
      </c>
      <c r="C590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Master'!$F:$F,B590),"")</f>
        <v>530</v>
      </c>
      <c r="D590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Master'!$F:$F,B590),"")</f>
        <v>0.1023</v>
      </c>
      <c r="E590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Master'!$F:$F,B590),"")</f>
        <v>0.1023</v>
      </c>
      <c r="F590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Master'!$F:$F,B590),"")</f>
        <v>7.0000000000000007E-2</v>
      </c>
      <c r="G590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Master'!$F:$F,B590),"")</f>
        <v>143</v>
      </c>
      <c r="H590">
        <f>IF(AND(ISNUMBER(C590),C590&gt;='Bulk Calculator'!U53/('Bulk Calculator'!J53*'Bulk Calculator'!L53)),1,0)</f>
        <v>1</v>
      </c>
      <c r="I590">
        <f>IFERROR(IF(AND(ISNUMBER(E590),ISNUMBER(F590),E590&gt;0,F590&gt;0),SQRT(3)*'Bulk Calculator'!O53*'Bulk Calculator'!AA53*((E590*'Bulk Calculator'!Q53)+(F590*SQRT(1-'Bulk Calculator'!Q53^2)))/'Bulk Calculator'!J53/'Bulk Calculator'!K53*100,D590*'Bulk Calculator'!AA53*'Bulk Calculator'!O53/'Bulk Calculator'!J53/'Bulk Calculator'!K53*100),"")</f>
        <v>0</v>
      </c>
      <c r="J590">
        <f>IFERROR(IF(AND(ISNUMBER(E590),ISNUMBER(F590),E590&gt;0,F590&gt;0),SQRT(3)*'Bulk Calculator'!O53*'Bulk Calculator'!U53*((E590*'Bulk Calculator'!M53)+(F590*SQRT(1-'Bulk Calculator'!M53^2)))/'Bulk Calculator'!J53/'Bulk Calculator'!K53*100,D590*'Bulk Calculator'!U53*'Bulk Calculator'!O53/'Bulk Calculator'!J53/'Bulk Calculator'!K53*100),"")</f>
        <v>0</v>
      </c>
      <c r="K590">
        <f>IFERROR(G590*B590*'Bulk Calculator'!J53/SQRT('Bulk Calculator'!S53)/1000,"")</f>
        <v>127.90308831298798</v>
      </c>
      <c r="L590">
        <f>IF(OR('Bulk Calculator'!R53="",'Bulk Calculator'!S53="",G590=""),0,IF(K590&gt;='Bulk Calculator'!R53,1,0))</f>
        <v>1</v>
      </c>
      <c r="M590">
        <f>IF(AND(H590=1,I590&lt;='OS-DORAEN'!$B$6,J590&lt;='OS-DORAEN'!$B$5,L590=1),1,0)</f>
        <v>1</v>
      </c>
      <c r="N590" t="str">
        <f t="shared" si="9"/>
        <v>R/X</v>
      </c>
    </row>
    <row r="591" spans="1:14" ht="15" customHeight="1" x14ac:dyDescent="0.35">
      <c r="A591">
        <v>53</v>
      </c>
      <c r="B591">
        <v>300</v>
      </c>
      <c r="C591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Master'!$F:$F,B591),"")</f>
        <v>455</v>
      </c>
      <c r="D591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Master'!$F:$F,B591),"")</f>
        <v>0.13</v>
      </c>
      <c r="E591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Master'!$F:$F,B591),"")</f>
        <v>0.13</v>
      </c>
      <c r="F591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Master'!$F:$F,B591),"")</f>
        <v>7.0999999999999994E-2</v>
      </c>
      <c r="G591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Master'!$F:$F,B591),"")</f>
        <v>143</v>
      </c>
      <c r="H591">
        <f>IF(AND(ISNUMBER(C591),C591&gt;='Bulk Calculator'!U53/('Bulk Calculator'!J53*'Bulk Calculator'!L53)),1,0)</f>
        <v>1</v>
      </c>
      <c r="I591">
        <f>IFERROR(IF(AND(ISNUMBER(E591),ISNUMBER(F591),E591&gt;0,F591&gt;0),SQRT(3)*'Bulk Calculator'!O53*'Bulk Calculator'!AA53*((E591*'Bulk Calculator'!Q53)+(F591*SQRT(1-'Bulk Calculator'!Q53^2)))/'Bulk Calculator'!J53/'Bulk Calculator'!K53*100,D591*'Bulk Calculator'!AA53*'Bulk Calculator'!O53/'Bulk Calculator'!J53/'Bulk Calculator'!K53*100),"")</f>
        <v>0</v>
      </c>
      <c r="J591">
        <f>IFERROR(IF(AND(ISNUMBER(E591),ISNUMBER(F591),E591&gt;0,F591&gt;0),SQRT(3)*'Bulk Calculator'!O53*'Bulk Calculator'!U53*((E591*'Bulk Calculator'!M53)+(F591*SQRT(1-'Bulk Calculator'!M53^2)))/'Bulk Calculator'!J53/'Bulk Calculator'!K53*100,D591*'Bulk Calculator'!U53*'Bulk Calculator'!O53/'Bulk Calculator'!J53/'Bulk Calculator'!K53*100),"")</f>
        <v>0</v>
      </c>
      <c r="K591">
        <f>IFERROR(G591*B591*'Bulk Calculator'!J53/SQRT('Bulk Calculator'!S53)/1000,"")</f>
        <v>95.927316234740985</v>
      </c>
      <c r="L591">
        <f>IF(OR('Bulk Calculator'!R53="",'Bulk Calculator'!S53="",G591=""),0,IF(K591&gt;='Bulk Calculator'!R53,1,0))</f>
        <v>1</v>
      </c>
      <c r="M591">
        <f>IF(AND(H591=1,I591&lt;='OS-DORAEN'!$B$6,J591&lt;='OS-DORAEN'!$B$5,L591=1),1,0)</f>
        <v>1</v>
      </c>
      <c r="N591" t="str">
        <f t="shared" si="9"/>
        <v>R/X</v>
      </c>
    </row>
    <row r="592" spans="1:14" ht="15" customHeight="1" x14ac:dyDescent="0.35">
      <c r="A592">
        <v>53</v>
      </c>
      <c r="B592">
        <v>240</v>
      </c>
      <c r="C592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Master'!$F:$F,B592),"")</f>
        <v>399</v>
      </c>
      <c r="D592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Master'!$F:$F,B592),"")</f>
        <v>0.16200000000000001</v>
      </c>
      <c r="E592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Master'!$F:$F,B592),"")</f>
        <v>0.16200000000000001</v>
      </c>
      <c r="F592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Master'!$F:$F,B592),"")</f>
        <v>7.1999999999999995E-2</v>
      </c>
      <c r="G592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Master'!$F:$F,B592),"")</f>
        <v>143</v>
      </c>
      <c r="H592">
        <f>IF(AND(ISNUMBER(C592),C592&gt;='Bulk Calculator'!U53/('Bulk Calculator'!J53*'Bulk Calculator'!L53)),1,0)</f>
        <v>1</v>
      </c>
      <c r="I592">
        <f>IFERROR(IF(AND(ISNUMBER(E592),ISNUMBER(F592),E592&gt;0,F592&gt;0),SQRT(3)*'Bulk Calculator'!O53*'Bulk Calculator'!AA53*((E592*'Bulk Calculator'!Q53)+(F592*SQRT(1-'Bulk Calculator'!Q53^2)))/'Bulk Calculator'!J53/'Bulk Calculator'!K53*100,D592*'Bulk Calculator'!AA53*'Bulk Calculator'!O53/'Bulk Calculator'!J53/'Bulk Calculator'!K53*100),"")</f>
        <v>0</v>
      </c>
      <c r="J592">
        <f>IFERROR(IF(AND(ISNUMBER(E592),ISNUMBER(F592),E592&gt;0,F592&gt;0),SQRT(3)*'Bulk Calculator'!O53*'Bulk Calculator'!U53*((E592*'Bulk Calculator'!M53)+(F592*SQRT(1-'Bulk Calculator'!M53^2)))/'Bulk Calculator'!J53/'Bulk Calculator'!K53*100,D592*'Bulk Calculator'!U53*'Bulk Calculator'!O53/'Bulk Calculator'!J53/'Bulk Calculator'!K53*100),"")</f>
        <v>0</v>
      </c>
      <c r="K592">
        <f>IFERROR(G592*B592*'Bulk Calculator'!J53/SQRT('Bulk Calculator'!S53)/1000,"")</f>
        <v>76.741852987792782</v>
      </c>
      <c r="L592">
        <f>IF(OR('Bulk Calculator'!R53="",'Bulk Calculator'!S53="",G592=""),0,IF(K592&gt;='Bulk Calculator'!R53,1,0))</f>
        <v>1</v>
      </c>
      <c r="M592">
        <f>IF(AND(H592=1,I592&lt;='OS-DORAEN'!$B$6,J592&lt;='OS-DORAEN'!$B$5,L592=1),1,0)</f>
        <v>1</v>
      </c>
      <c r="N592" t="str">
        <f t="shared" si="9"/>
        <v>R/X</v>
      </c>
    </row>
    <row r="593" spans="1:14" ht="15" customHeight="1" x14ac:dyDescent="0.35">
      <c r="A593">
        <v>53</v>
      </c>
      <c r="B593">
        <v>185</v>
      </c>
      <c r="C593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Master'!$F:$F,B593),"")</f>
        <v>337</v>
      </c>
      <c r="D593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Master'!$F:$F,B593),"")</f>
        <v>0.21099999999999999</v>
      </c>
      <c r="E593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Master'!$F:$F,B593),"")</f>
        <v>0.21099999999999999</v>
      </c>
      <c r="F593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Master'!$F:$F,B593),"")</f>
        <v>7.1999999999999995E-2</v>
      </c>
      <c r="G593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Master'!$F:$F,B593),"")</f>
        <v>143</v>
      </c>
      <c r="H593">
        <f>IF(AND(ISNUMBER(C593),C593&gt;='Bulk Calculator'!U53/('Bulk Calculator'!J53*'Bulk Calculator'!L53)),1,0)</f>
        <v>1</v>
      </c>
      <c r="I593">
        <f>IFERROR(IF(AND(ISNUMBER(E593),ISNUMBER(F593),E593&gt;0,F593&gt;0),SQRT(3)*'Bulk Calculator'!O53*'Bulk Calculator'!AA53*((E593*'Bulk Calculator'!Q53)+(F593*SQRT(1-'Bulk Calculator'!Q53^2)))/'Bulk Calculator'!J53/'Bulk Calculator'!K53*100,D593*'Bulk Calculator'!AA53*'Bulk Calculator'!O53/'Bulk Calculator'!J53/'Bulk Calculator'!K53*100),"")</f>
        <v>0</v>
      </c>
      <c r="J593">
        <f>IFERROR(IF(AND(ISNUMBER(E593),ISNUMBER(F593),E593&gt;0,F593&gt;0),SQRT(3)*'Bulk Calculator'!O53*'Bulk Calculator'!U53*((E593*'Bulk Calculator'!M53)+(F593*SQRT(1-'Bulk Calculator'!M53^2)))/'Bulk Calculator'!J53/'Bulk Calculator'!K53*100,D593*'Bulk Calculator'!U53*'Bulk Calculator'!O53/'Bulk Calculator'!J53/'Bulk Calculator'!K53*100),"")</f>
        <v>0</v>
      </c>
      <c r="K593">
        <f>IFERROR(G593*B593*'Bulk Calculator'!J53/SQRT('Bulk Calculator'!S53)/1000,"")</f>
        <v>59.155178344756941</v>
      </c>
      <c r="L593">
        <f>IF(OR('Bulk Calculator'!R53="",'Bulk Calculator'!S53="",G593=""),0,IF(K593&gt;='Bulk Calculator'!R53,1,0))</f>
        <v>1</v>
      </c>
      <c r="M593">
        <f>IF(AND(H593=1,I593&lt;='OS-DORAEN'!$B$6,J593&lt;='OS-DORAEN'!$B$5,L593=1),1,0)</f>
        <v>1</v>
      </c>
      <c r="N593" t="str">
        <f t="shared" si="9"/>
        <v>R/X</v>
      </c>
    </row>
    <row r="594" spans="1:14" ht="15" customHeight="1" x14ac:dyDescent="0.35">
      <c r="A594">
        <v>53</v>
      </c>
      <c r="B594">
        <v>150</v>
      </c>
      <c r="C594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Master'!$F:$F,B594),"")</f>
        <v>292</v>
      </c>
      <c r="D594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Master'!$F:$F,B594),"")</f>
        <v>0.26500000000000001</v>
      </c>
      <c r="E594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Master'!$F:$F,B594),"")</f>
        <v>0.26500000000000001</v>
      </c>
      <c r="F594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Master'!$F:$F,B594),"")</f>
        <v>7.1999999999999995E-2</v>
      </c>
      <c r="G594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Master'!$F:$F,B594),"")</f>
        <v>143</v>
      </c>
      <c r="H594">
        <f>IF(AND(ISNUMBER(C594),C594&gt;='Bulk Calculator'!U53/('Bulk Calculator'!J53*'Bulk Calculator'!L53)),1,0)</f>
        <v>1</v>
      </c>
      <c r="I594">
        <f>IFERROR(IF(AND(ISNUMBER(E594),ISNUMBER(F594),E594&gt;0,F594&gt;0),SQRT(3)*'Bulk Calculator'!O53*'Bulk Calculator'!AA53*((E594*'Bulk Calculator'!Q53)+(F594*SQRT(1-'Bulk Calculator'!Q53^2)))/'Bulk Calculator'!J53/'Bulk Calculator'!K53*100,D594*'Bulk Calculator'!AA53*'Bulk Calculator'!O53/'Bulk Calculator'!J53/'Bulk Calculator'!K53*100),"")</f>
        <v>0</v>
      </c>
      <c r="J594">
        <f>IFERROR(IF(AND(ISNUMBER(E594),ISNUMBER(F594),E594&gt;0,F594&gt;0),SQRT(3)*'Bulk Calculator'!O53*'Bulk Calculator'!U53*((E594*'Bulk Calculator'!M53)+(F594*SQRT(1-'Bulk Calculator'!M53^2)))/'Bulk Calculator'!J53/'Bulk Calculator'!K53*100,D594*'Bulk Calculator'!U53*'Bulk Calculator'!O53/'Bulk Calculator'!J53/'Bulk Calculator'!K53*100),"")</f>
        <v>0</v>
      </c>
      <c r="K594">
        <f>IFERROR(G594*B594*'Bulk Calculator'!J53/SQRT('Bulk Calculator'!S53)/1000,"")</f>
        <v>47.963658117370493</v>
      </c>
      <c r="L594">
        <f>IF(OR('Bulk Calculator'!R53="",'Bulk Calculator'!S53="",G594=""),0,IF(K594&gt;='Bulk Calculator'!R53,1,0))</f>
        <v>1</v>
      </c>
      <c r="M594">
        <f>IF(AND(H594=1,I594&lt;='OS-DORAEN'!$B$6,J594&lt;='OS-DORAEN'!$B$5,L594=1),1,0)</f>
        <v>1</v>
      </c>
      <c r="N594" t="str">
        <f t="shared" si="9"/>
        <v>R/X</v>
      </c>
    </row>
    <row r="595" spans="1:14" ht="15" customHeight="1" x14ac:dyDescent="0.35">
      <c r="A595">
        <v>53</v>
      </c>
      <c r="B595">
        <v>120</v>
      </c>
      <c r="C595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Master'!$F:$F,B595),"")</f>
        <v>257</v>
      </c>
      <c r="D595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Master'!$F:$F,B595),"")</f>
        <v>0.32500000000000001</v>
      </c>
      <c r="E595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Master'!$F:$F,B595),"")</f>
        <v>0.32500000000000001</v>
      </c>
      <c r="F595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Master'!$F:$F,B595),"")</f>
        <v>7.1999999999999995E-2</v>
      </c>
      <c r="G595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Master'!$F:$F,B595),"")</f>
        <v>143</v>
      </c>
      <c r="H595">
        <f>IF(AND(ISNUMBER(C595),C595&gt;='Bulk Calculator'!U53/('Bulk Calculator'!J53*'Bulk Calculator'!L53)),1,0)</f>
        <v>1</v>
      </c>
      <c r="I595">
        <f>IFERROR(IF(AND(ISNUMBER(E595),ISNUMBER(F595),E595&gt;0,F595&gt;0),SQRT(3)*'Bulk Calculator'!O53*'Bulk Calculator'!AA53*((E595*'Bulk Calculator'!Q53)+(F595*SQRT(1-'Bulk Calculator'!Q53^2)))/'Bulk Calculator'!J53/'Bulk Calculator'!K53*100,D595*'Bulk Calculator'!AA53*'Bulk Calculator'!O53/'Bulk Calculator'!J53/'Bulk Calculator'!K53*100),"")</f>
        <v>0</v>
      </c>
      <c r="J595">
        <f>IFERROR(IF(AND(ISNUMBER(E595),ISNUMBER(F595),E595&gt;0,F595&gt;0),SQRT(3)*'Bulk Calculator'!O53*'Bulk Calculator'!U53*((E595*'Bulk Calculator'!M53)+(F595*SQRT(1-'Bulk Calculator'!M53^2)))/'Bulk Calculator'!J53/'Bulk Calculator'!K53*100,D595*'Bulk Calculator'!U53*'Bulk Calculator'!O53/'Bulk Calculator'!J53/'Bulk Calculator'!K53*100),"")</f>
        <v>0</v>
      </c>
      <c r="K595">
        <f>IFERROR(G595*B595*'Bulk Calculator'!J53/SQRT('Bulk Calculator'!S53)/1000,"")</f>
        <v>38.370926493896391</v>
      </c>
      <c r="L595">
        <f>IF(OR('Bulk Calculator'!R53="",'Bulk Calculator'!S53="",G595=""),0,IF(K595&gt;='Bulk Calculator'!R53,1,0))</f>
        <v>1</v>
      </c>
      <c r="M595">
        <f>IF(AND(H595=1,I595&lt;='OS-DORAEN'!$B$6,J595&lt;='OS-DORAEN'!$B$5,L595=1),1,0)</f>
        <v>1</v>
      </c>
      <c r="N595" t="str">
        <f t="shared" si="9"/>
        <v>R/X</v>
      </c>
    </row>
    <row r="596" spans="1:14" ht="15" customHeight="1" x14ac:dyDescent="0.35">
      <c r="A596">
        <v>53</v>
      </c>
      <c r="B596">
        <v>95</v>
      </c>
      <c r="C596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Master'!$F:$F,B596),"")</f>
        <v>221</v>
      </c>
      <c r="D596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Master'!$F:$F,B596),"")</f>
        <v>0.41</v>
      </c>
      <c r="E596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Master'!$F:$F,B596),"")</f>
        <v>0.41</v>
      </c>
      <c r="F596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Master'!$F:$F,B596),"")</f>
        <v>7.3999999999999996E-2</v>
      </c>
      <c r="G596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Master'!$F:$F,B596),"")</f>
        <v>143</v>
      </c>
      <c r="H596">
        <f>IF(AND(ISNUMBER(C596),C596&gt;='Bulk Calculator'!U53/('Bulk Calculator'!J53*'Bulk Calculator'!L53)),1,0)</f>
        <v>1</v>
      </c>
      <c r="I596">
        <f>IFERROR(IF(AND(ISNUMBER(E596),ISNUMBER(F596),E596&gt;0,F596&gt;0),SQRT(3)*'Bulk Calculator'!O53*'Bulk Calculator'!AA53*((E596*'Bulk Calculator'!Q53)+(F596*SQRT(1-'Bulk Calculator'!Q53^2)))/'Bulk Calculator'!J53/'Bulk Calculator'!K53*100,D596*'Bulk Calculator'!AA53*'Bulk Calculator'!O53/'Bulk Calculator'!J53/'Bulk Calculator'!K53*100),"")</f>
        <v>0</v>
      </c>
      <c r="J596">
        <f>IFERROR(IF(AND(ISNUMBER(E596),ISNUMBER(F596),E596&gt;0,F596&gt;0),SQRT(3)*'Bulk Calculator'!O53*'Bulk Calculator'!U53*((E596*'Bulk Calculator'!M53)+(F596*SQRT(1-'Bulk Calculator'!M53^2)))/'Bulk Calculator'!J53/'Bulk Calculator'!K53*100,D596*'Bulk Calculator'!U53*'Bulk Calculator'!O53/'Bulk Calculator'!J53/'Bulk Calculator'!K53*100),"")</f>
        <v>0</v>
      </c>
      <c r="K596">
        <f>IFERROR(G596*B596*'Bulk Calculator'!J53/SQRT('Bulk Calculator'!S53)/1000,"")</f>
        <v>30.376983474334644</v>
      </c>
      <c r="L596">
        <f>IF(OR('Bulk Calculator'!R53="",'Bulk Calculator'!S53="",G596=""),0,IF(K596&gt;='Bulk Calculator'!R53,1,0))</f>
        <v>1</v>
      </c>
      <c r="M596">
        <f>IF(AND(H596=1,I596&lt;='OS-DORAEN'!$B$6,J596&lt;='OS-DORAEN'!$B$5,L596=1),1,0)</f>
        <v>1</v>
      </c>
      <c r="N596" t="str">
        <f t="shared" si="9"/>
        <v>R/X</v>
      </c>
    </row>
    <row r="597" spans="1:14" ht="15" customHeight="1" x14ac:dyDescent="0.35">
      <c r="A597">
        <v>53</v>
      </c>
      <c r="B597">
        <v>70</v>
      </c>
      <c r="C597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Master'!$F:$F,B597),"")</f>
        <v>179</v>
      </c>
      <c r="D597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Master'!$F:$F,B597),"")</f>
        <v>0.56699999999999995</v>
      </c>
      <c r="E597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Master'!$F:$F,B597),"")</f>
        <v>0.56699999999999995</v>
      </c>
      <c r="F597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Master'!$F:$F,B597),"")</f>
        <v>7.6999999999999999E-2</v>
      </c>
      <c r="G597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Master'!$F:$F,B597),"")</f>
        <v>143</v>
      </c>
      <c r="H597">
        <f>IF(AND(ISNUMBER(C597),C597&gt;='Bulk Calculator'!U53/('Bulk Calculator'!J53*'Bulk Calculator'!L53)),1,0)</f>
        <v>1</v>
      </c>
      <c r="I597">
        <f>IFERROR(IF(AND(ISNUMBER(E597),ISNUMBER(F597),E597&gt;0,F597&gt;0),SQRT(3)*'Bulk Calculator'!O53*'Bulk Calculator'!AA53*((E597*'Bulk Calculator'!Q53)+(F597*SQRT(1-'Bulk Calculator'!Q53^2)))/'Bulk Calculator'!J53/'Bulk Calculator'!K53*100,D597*'Bulk Calculator'!AA53*'Bulk Calculator'!O53/'Bulk Calculator'!J53/'Bulk Calculator'!K53*100),"")</f>
        <v>0</v>
      </c>
      <c r="J597">
        <f>IFERROR(IF(AND(ISNUMBER(E597),ISNUMBER(F597),E597&gt;0,F597&gt;0),SQRT(3)*'Bulk Calculator'!O53*'Bulk Calculator'!U53*((E597*'Bulk Calculator'!M53)+(F597*SQRT(1-'Bulk Calculator'!M53^2)))/'Bulk Calculator'!J53/'Bulk Calculator'!K53*100,D597*'Bulk Calculator'!U53*'Bulk Calculator'!O53/'Bulk Calculator'!J53/'Bulk Calculator'!K53*100),"")</f>
        <v>0</v>
      </c>
      <c r="K597">
        <f>IFERROR(G597*B597*'Bulk Calculator'!J53/SQRT('Bulk Calculator'!S53)/1000,"")</f>
        <v>22.383040454772893</v>
      </c>
      <c r="L597">
        <f>IF(OR('Bulk Calculator'!R53="",'Bulk Calculator'!S53="",G597=""),0,IF(K597&gt;='Bulk Calculator'!R53,1,0))</f>
        <v>1</v>
      </c>
      <c r="M597">
        <f>IF(AND(H597=1,I597&lt;='OS-DORAEN'!$B$6,J597&lt;='OS-DORAEN'!$B$5,L597=1),1,0)</f>
        <v>1</v>
      </c>
      <c r="N597" t="str">
        <f t="shared" si="9"/>
        <v>R/X</v>
      </c>
    </row>
    <row r="598" spans="1:14" ht="15" customHeight="1" x14ac:dyDescent="0.35">
      <c r="A598">
        <v>53</v>
      </c>
      <c r="B598">
        <v>50</v>
      </c>
      <c r="C598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Master'!$F:$F,B598),"")</f>
        <v>142</v>
      </c>
      <c r="D598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Master'!$F:$F,B598),"")</f>
        <v>0.82</v>
      </c>
      <c r="E598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Master'!$F:$F,B598),"")</f>
        <v>0.82</v>
      </c>
      <c r="F598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Master'!$F:$F,B598),"")</f>
        <v>7.8E-2</v>
      </c>
      <c r="G598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Master'!$F:$F,B598),"")</f>
        <v>143</v>
      </c>
      <c r="H598">
        <f>IF(AND(ISNUMBER(C598),C598&gt;='Bulk Calculator'!U53/('Bulk Calculator'!J53*'Bulk Calculator'!L53)),1,0)</f>
        <v>1</v>
      </c>
      <c r="I598">
        <f>IFERROR(IF(AND(ISNUMBER(E598),ISNUMBER(F598),E598&gt;0,F598&gt;0),SQRT(3)*'Bulk Calculator'!O53*'Bulk Calculator'!AA53*((E598*'Bulk Calculator'!Q53)+(F598*SQRT(1-'Bulk Calculator'!Q53^2)))/'Bulk Calculator'!J53/'Bulk Calculator'!K53*100,D598*'Bulk Calculator'!AA53*'Bulk Calculator'!O53/'Bulk Calculator'!J53/'Bulk Calculator'!K53*100),"")</f>
        <v>0</v>
      </c>
      <c r="J598">
        <f>IFERROR(IF(AND(ISNUMBER(E598),ISNUMBER(F598),E598&gt;0,F598&gt;0),SQRT(3)*'Bulk Calculator'!O53*'Bulk Calculator'!U53*((E598*'Bulk Calculator'!M53)+(F598*SQRT(1-'Bulk Calculator'!M53^2)))/'Bulk Calculator'!J53/'Bulk Calculator'!K53*100,D598*'Bulk Calculator'!U53*'Bulk Calculator'!O53/'Bulk Calculator'!J53/'Bulk Calculator'!K53*100),"")</f>
        <v>0</v>
      </c>
      <c r="K598">
        <f>IFERROR(G598*B598*'Bulk Calculator'!J53/SQRT('Bulk Calculator'!S53)/1000,"")</f>
        <v>15.987886039123497</v>
      </c>
      <c r="L598">
        <f>IF(OR('Bulk Calculator'!R53="",'Bulk Calculator'!S53="",G598=""),0,IF(K598&gt;='Bulk Calculator'!R53,1,0))</f>
        <v>1</v>
      </c>
      <c r="M598">
        <f>IF(AND(H598=1,I598&lt;='OS-DORAEN'!$B$6,J598&lt;='OS-DORAEN'!$B$5,L598=1),1,0)</f>
        <v>1</v>
      </c>
      <c r="N598" t="str">
        <f t="shared" si="9"/>
        <v>R/X</v>
      </c>
    </row>
    <row r="599" spans="1:14" ht="15" customHeight="1" x14ac:dyDescent="0.35">
      <c r="A599">
        <v>53</v>
      </c>
      <c r="B599">
        <v>35</v>
      </c>
      <c r="C599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Master'!$F:$F,B599),"")</f>
        <v>117</v>
      </c>
      <c r="D599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Master'!$F:$F,B599),"")</f>
        <v>1.1100000000000001</v>
      </c>
      <c r="E599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Master'!$F:$F,B599),"")</f>
        <v>1.1100000000000001</v>
      </c>
      <c r="F599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Master'!$F:$F,B599),"")</f>
        <v>0.08</v>
      </c>
      <c r="G599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Master'!$F:$F,B599),"")</f>
        <v>143</v>
      </c>
      <c r="H599">
        <f>IF(AND(ISNUMBER(C599),C599&gt;='Bulk Calculator'!U53/('Bulk Calculator'!J53*'Bulk Calculator'!L53)),1,0)</f>
        <v>1</v>
      </c>
      <c r="I599">
        <f>IFERROR(IF(AND(ISNUMBER(E599),ISNUMBER(F599),E599&gt;0,F599&gt;0),SQRT(3)*'Bulk Calculator'!O53*'Bulk Calculator'!AA53*((E599*'Bulk Calculator'!Q53)+(F599*SQRT(1-'Bulk Calculator'!Q53^2)))/'Bulk Calculator'!J53/'Bulk Calculator'!K53*100,D599*'Bulk Calculator'!AA53*'Bulk Calculator'!O53/'Bulk Calculator'!J53/'Bulk Calculator'!K53*100),"")</f>
        <v>0</v>
      </c>
      <c r="J599">
        <f>IFERROR(IF(AND(ISNUMBER(E599),ISNUMBER(F599),E599&gt;0,F599&gt;0),SQRT(3)*'Bulk Calculator'!O53*'Bulk Calculator'!U53*((E599*'Bulk Calculator'!M53)+(F599*SQRT(1-'Bulk Calculator'!M53^2)))/'Bulk Calculator'!J53/'Bulk Calculator'!K53*100,D599*'Bulk Calculator'!U53*'Bulk Calculator'!O53/'Bulk Calculator'!J53/'Bulk Calculator'!K53*100),"")</f>
        <v>0</v>
      </c>
      <c r="K599">
        <f>IFERROR(G599*B599*'Bulk Calculator'!J53/SQRT('Bulk Calculator'!S53)/1000,"")</f>
        <v>11.191520227386446</v>
      </c>
      <c r="L599">
        <f>IF(OR('Bulk Calculator'!R53="",'Bulk Calculator'!S53="",G599=""),0,IF(K599&gt;='Bulk Calculator'!R53,1,0))</f>
        <v>1</v>
      </c>
      <c r="M599">
        <f>IF(AND(H599=1,I599&lt;='OS-DORAEN'!$B$6,J599&lt;='OS-DORAEN'!$B$5,L599=1),1,0)</f>
        <v>1</v>
      </c>
      <c r="N599" t="str">
        <f t="shared" si="9"/>
        <v>R/X</v>
      </c>
    </row>
    <row r="600" spans="1:14" ht="15" customHeight="1" x14ac:dyDescent="0.35">
      <c r="A600">
        <v>53</v>
      </c>
      <c r="B600">
        <v>25</v>
      </c>
      <c r="C600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Master'!$F:$F,B600),"")</f>
        <v>96</v>
      </c>
      <c r="D600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Master'!$F:$F,B600),"")</f>
        <v>1.54</v>
      </c>
      <c r="E600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Master'!$F:$F,B600),"")</f>
        <v>1.54</v>
      </c>
      <c r="F600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Master'!$F:$F,B600),"")</f>
        <v>0.08</v>
      </c>
      <c r="G600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Master'!$F:$F,B600),"")</f>
        <v>143</v>
      </c>
      <c r="H600">
        <f>IF(AND(ISNUMBER(C600),C600&gt;='Bulk Calculator'!U53/('Bulk Calculator'!J53*'Bulk Calculator'!L53)),1,0)</f>
        <v>1</v>
      </c>
      <c r="I600">
        <f>IFERROR(IF(AND(ISNUMBER(E600),ISNUMBER(F600),E600&gt;0,F600&gt;0),SQRT(3)*'Bulk Calculator'!O53*'Bulk Calculator'!AA53*((E600*'Bulk Calculator'!Q53)+(F600*SQRT(1-'Bulk Calculator'!Q53^2)))/'Bulk Calculator'!J53/'Bulk Calculator'!K53*100,D600*'Bulk Calculator'!AA53*'Bulk Calculator'!O53/'Bulk Calculator'!J53/'Bulk Calculator'!K53*100),"")</f>
        <v>0</v>
      </c>
      <c r="J600">
        <f>IFERROR(IF(AND(ISNUMBER(E600),ISNUMBER(F600),E600&gt;0,F600&gt;0),SQRT(3)*'Bulk Calculator'!O53*'Bulk Calculator'!U53*((E600*'Bulk Calculator'!M53)+(F600*SQRT(1-'Bulk Calculator'!M53^2)))/'Bulk Calculator'!J53/'Bulk Calculator'!K53*100,D600*'Bulk Calculator'!U53*'Bulk Calculator'!O53/'Bulk Calculator'!J53/'Bulk Calculator'!K53*100),"")</f>
        <v>0</v>
      </c>
      <c r="K600">
        <f>IFERROR(G600*B600*'Bulk Calculator'!J53/SQRT('Bulk Calculator'!S53)/1000,"")</f>
        <v>7.9939430195617485</v>
      </c>
      <c r="L600">
        <f>IF(OR('Bulk Calculator'!R53="",'Bulk Calculator'!S53="",G600=""),0,IF(K600&gt;='Bulk Calculator'!R53,1,0))</f>
        <v>1</v>
      </c>
      <c r="M600">
        <f>IF(AND(H600=1,I600&lt;='OS-DORAEN'!$B$6,J600&lt;='OS-DORAEN'!$B$5,L600=1),1,0)</f>
        <v>1</v>
      </c>
      <c r="N600" t="str">
        <f t="shared" si="9"/>
        <v>R/X</v>
      </c>
    </row>
    <row r="601" spans="1:14" ht="15" customHeight="1" x14ac:dyDescent="0.35">
      <c r="A601">
        <v>53</v>
      </c>
      <c r="B601">
        <v>16</v>
      </c>
      <c r="C601">
        <f>IFERROR(SUMIFS('Cable Data Master'!$G:$G,'Cable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Master'!$F:$F,B601),"")</f>
        <v>0</v>
      </c>
      <c r="D601">
        <f>IFERROR(SUMIFS('Cable Data Master'!$K:$K,'Cable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Master'!$F:$F,B601),"")</f>
        <v>0</v>
      </c>
      <c r="E601">
        <f>IFERROR(SUMIFS('Cable Data Master'!$H:$H,'Cable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Master'!$F:$F,B601),"")</f>
        <v>0</v>
      </c>
      <c r="F601">
        <f>IFERROR(SUMIFS('Cable Data Master'!$I:$I,'Cable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Master'!$F:$F,B601),"")</f>
        <v>0</v>
      </c>
      <c r="G601">
        <f>IFERROR(SUMIFS('Cable Data Master'!$J:$J,'Cable Data Master'!$A:$A,'Bulk Calculator'!$BF53,'Cable Data Master'!$B:$B,'Bulk Calculator'!$BG53,'Cable Data Master'!$C:$C,'Bulk Calculator'!$BH53,'Cable Data Master'!$D:$D,'Bulk Calculator'!$BI53,'Cable Data Master'!$E:$E,'Bulk Calculator'!$BJ53,'Cable Data Master'!$F:$F,B601),"")</f>
        <v>0</v>
      </c>
      <c r="H601">
        <f>IF(AND(ISNUMBER(C601),C601&gt;='Bulk Calculator'!U53/('Bulk Calculator'!J53*'Bulk Calculator'!L53)),1,0)</f>
        <v>1</v>
      </c>
      <c r="I601">
        <f>IFERROR(IF(AND(ISNUMBER(E601),ISNUMBER(F601),E601&gt;0,F601&gt;0),SQRT(3)*'Bulk Calculator'!O53*'Bulk Calculator'!AA53*((E601*'Bulk Calculator'!Q53)+(F601*SQRT(1-'Bulk Calculator'!Q53^2)))/'Bulk Calculator'!J53/'Bulk Calculator'!K53*100,D601*'Bulk Calculator'!AA53*'Bulk Calculator'!O53/'Bulk Calculator'!J53/'Bulk Calculator'!K53*100),"")</f>
        <v>0</v>
      </c>
      <c r="J601">
        <f>IFERROR(IF(AND(ISNUMBER(E601),ISNUMBER(F601),E601&gt;0,F601&gt;0),SQRT(3)*'Bulk Calculator'!O53*'Bulk Calculator'!U53*((E601*'Bulk Calculator'!M53)+(F601*SQRT(1-'Bulk Calculator'!M53^2)))/'Bulk Calculator'!J53/'Bulk Calculator'!K53*100,D601*'Bulk Calculator'!U53*'Bulk Calculator'!O53/'Bulk Calculator'!J53/'Bulk Calculator'!K53*100),"")</f>
        <v>0</v>
      </c>
      <c r="K601">
        <f>IFERROR(G601*B601*'Bulk Calculator'!J53/SQRT('Bulk Calculator'!S53)/1000,"")</f>
        <v>0</v>
      </c>
      <c r="L601">
        <f>IF(OR('Bulk Calculator'!R53="",'Bulk Calculator'!S53="",G601=""),0,IF(K601&gt;='Bulk Calculator'!R53,1,0))</f>
        <v>1</v>
      </c>
      <c r="M601">
        <f>IF(AND(H601=1,I601&lt;='OS-DORAEN'!$B$6,J601&lt;='OS-DORAEN'!$B$5,L601=1),1,0)</f>
        <v>1</v>
      </c>
      <c r="N601" t="str">
        <f t="shared" si="9"/>
        <v>Manufacturer VD Ref</v>
      </c>
    </row>
    <row r="602" spans="1:14" ht="15" customHeight="1" x14ac:dyDescent="0.35">
      <c r="A602">
        <v>54</v>
      </c>
      <c r="B602">
        <v>400</v>
      </c>
      <c r="C602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Master'!$F:$F,B602),"")</f>
        <v>530</v>
      </c>
      <c r="D602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Master'!$F:$F,B602),"")</f>
        <v>0.1023</v>
      </c>
      <c r="E602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Master'!$F:$F,B602),"")</f>
        <v>0.1023</v>
      </c>
      <c r="F602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Master'!$F:$F,B602),"")</f>
        <v>7.0000000000000007E-2</v>
      </c>
      <c r="G602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Master'!$F:$F,B602),"")</f>
        <v>143</v>
      </c>
      <c r="H602">
        <f>IF(AND(ISNUMBER(C602),C602&gt;='Bulk Calculator'!U54/('Bulk Calculator'!J54*'Bulk Calculator'!L54)),1,0)</f>
        <v>1</v>
      </c>
      <c r="I602">
        <f>IFERROR(IF(AND(ISNUMBER(E602),ISNUMBER(F602),E602&gt;0,F602&gt;0),SQRT(3)*'Bulk Calculator'!O54*'Bulk Calculator'!AA54*((E602*'Bulk Calculator'!Q54)+(F602*SQRT(1-'Bulk Calculator'!Q54^2)))/'Bulk Calculator'!J54/'Bulk Calculator'!K54*100,D602*'Bulk Calculator'!AA54*'Bulk Calculator'!O54/'Bulk Calculator'!J54/'Bulk Calculator'!K54*100),"")</f>
        <v>0</v>
      </c>
      <c r="J602">
        <f>IFERROR(IF(AND(ISNUMBER(E602),ISNUMBER(F602),E602&gt;0,F602&gt;0),SQRT(3)*'Bulk Calculator'!O54*'Bulk Calculator'!U54*((E602*'Bulk Calculator'!M54)+(F602*SQRT(1-'Bulk Calculator'!M54^2)))/'Bulk Calculator'!J54/'Bulk Calculator'!K54*100,D602*'Bulk Calculator'!U54*'Bulk Calculator'!O54/'Bulk Calculator'!J54/'Bulk Calculator'!K54*100),"")</f>
        <v>0</v>
      </c>
      <c r="K602">
        <f>IFERROR(G602*B602*'Bulk Calculator'!J54/SQRT('Bulk Calculator'!S54)/1000,"")</f>
        <v>127.90308831298798</v>
      </c>
      <c r="L602">
        <f>IF(OR('Bulk Calculator'!R54="",'Bulk Calculator'!S54="",G602=""),0,IF(K602&gt;='Bulk Calculator'!R54,1,0))</f>
        <v>1</v>
      </c>
      <c r="M602">
        <f>IF(AND(H602=1,I602&lt;='OS-DORAEN'!$B$6,J602&lt;='OS-DORAEN'!$B$5,L602=1),1,0)</f>
        <v>1</v>
      </c>
      <c r="N602" t="str">
        <f t="shared" si="9"/>
        <v>R/X</v>
      </c>
    </row>
    <row r="603" spans="1:14" ht="15" customHeight="1" x14ac:dyDescent="0.35">
      <c r="A603">
        <v>54</v>
      </c>
      <c r="B603">
        <v>300</v>
      </c>
      <c r="C603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Master'!$F:$F,B603),"")</f>
        <v>455</v>
      </c>
      <c r="D603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Master'!$F:$F,B603),"")</f>
        <v>0.13</v>
      </c>
      <c r="E603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Master'!$F:$F,B603),"")</f>
        <v>0.13</v>
      </c>
      <c r="F603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Master'!$F:$F,B603),"")</f>
        <v>7.0999999999999994E-2</v>
      </c>
      <c r="G603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Master'!$F:$F,B603),"")</f>
        <v>143</v>
      </c>
      <c r="H603">
        <f>IF(AND(ISNUMBER(C603),C603&gt;='Bulk Calculator'!U54/('Bulk Calculator'!J54*'Bulk Calculator'!L54)),1,0)</f>
        <v>1</v>
      </c>
      <c r="I603">
        <f>IFERROR(IF(AND(ISNUMBER(E603),ISNUMBER(F603),E603&gt;0,F603&gt;0),SQRT(3)*'Bulk Calculator'!O54*'Bulk Calculator'!AA54*((E603*'Bulk Calculator'!Q54)+(F603*SQRT(1-'Bulk Calculator'!Q54^2)))/'Bulk Calculator'!J54/'Bulk Calculator'!K54*100,D603*'Bulk Calculator'!AA54*'Bulk Calculator'!O54/'Bulk Calculator'!J54/'Bulk Calculator'!K54*100),"")</f>
        <v>0</v>
      </c>
      <c r="J603">
        <f>IFERROR(IF(AND(ISNUMBER(E603),ISNUMBER(F603),E603&gt;0,F603&gt;0),SQRT(3)*'Bulk Calculator'!O54*'Bulk Calculator'!U54*((E603*'Bulk Calculator'!M54)+(F603*SQRT(1-'Bulk Calculator'!M54^2)))/'Bulk Calculator'!J54/'Bulk Calculator'!K54*100,D603*'Bulk Calculator'!U54*'Bulk Calculator'!O54/'Bulk Calculator'!J54/'Bulk Calculator'!K54*100),"")</f>
        <v>0</v>
      </c>
      <c r="K603">
        <f>IFERROR(G603*B603*'Bulk Calculator'!J54/SQRT('Bulk Calculator'!S54)/1000,"")</f>
        <v>95.927316234740985</v>
      </c>
      <c r="L603">
        <f>IF(OR('Bulk Calculator'!R54="",'Bulk Calculator'!S54="",G603=""),0,IF(K603&gt;='Bulk Calculator'!R54,1,0))</f>
        <v>1</v>
      </c>
      <c r="M603">
        <f>IF(AND(H603=1,I603&lt;='OS-DORAEN'!$B$6,J603&lt;='OS-DORAEN'!$B$5,L603=1),1,0)</f>
        <v>1</v>
      </c>
      <c r="N603" t="str">
        <f t="shared" si="9"/>
        <v>R/X</v>
      </c>
    </row>
    <row r="604" spans="1:14" ht="15" customHeight="1" x14ac:dyDescent="0.35">
      <c r="A604">
        <v>54</v>
      </c>
      <c r="B604">
        <v>240</v>
      </c>
      <c r="C604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Master'!$F:$F,B604),"")</f>
        <v>399</v>
      </c>
      <c r="D604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Master'!$F:$F,B604),"")</f>
        <v>0.16200000000000001</v>
      </c>
      <c r="E604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Master'!$F:$F,B604),"")</f>
        <v>0.16200000000000001</v>
      </c>
      <c r="F604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Master'!$F:$F,B604),"")</f>
        <v>7.1999999999999995E-2</v>
      </c>
      <c r="G604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Master'!$F:$F,B604),"")</f>
        <v>143</v>
      </c>
      <c r="H604">
        <f>IF(AND(ISNUMBER(C604),C604&gt;='Bulk Calculator'!U54/('Bulk Calculator'!J54*'Bulk Calculator'!L54)),1,0)</f>
        <v>1</v>
      </c>
      <c r="I604">
        <f>IFERROR(IF(AND(ISNUMBER(E604),ISNUMBER(F604),E604&gt;0,F604&gt;0),SQRT(3)*'Bulk Calculator'!O54*'Bulk Calculator'!AA54*((E604*'Bulk Calculator'!Q54)+(F604*SQRT(1-'Bulk Calculator'!Q54^2)))/'Bulk Calculator'!J54/'Bulk Calculator'!K54*100,D604*'Bulk Calculator'!AA54*'Bulk Calculator'!O54/'Bulk Calculator'!J54/'Bulk Calculator'!K54*100),"")</f>
        <v>0</v>
      </c>
      <c r="J604">
        <f>IFERROR(IF(AND(ISNUMBER(E604),ISNUMBER(F604),E604&gt;0,F604&gt;0),SQRT(3)*'Bulk Calculator'!O54*'Bulk Calculator'!U54*((E604*'Bulk Calculator'!M54)+(F604*SQRT(1-'Bulk Calculator'!M54^2)))/'Bulk Calculator'!J54/'Bulk Calculator'!K54*100,D604*'Bulk Calculator'!U54*'Bulk Calculator'!O54/'Bulk Calculator'!J54/'Bulk Calculator'!K54*100),"")</f>
        <v>0</v>
      </c>
      <c r="K604">
        <f>IFERROR(G604*B604*'Bulk Calculator'!J54/SQRT('Bulk Calculator'!S54)/1000,"")</f>
        <v>76.741852987792782</v>
      </c>
      <c r="L604">
        <f>IF(OR('Bulk Calculator'!R54="",'Bulk Calculator'!S54="",G604=""),0,IF(K604&gt;='Bulk Calculator'!R54,1,0))</f>
        <v>1</v>
      </c>
      <c r="M604">
        <f>IF(AND(H604=1,I604&lt;='OS-DORAEN'!$B$6,J604&lt;='OS-DORAEN'!$B$5,L604=1),1,0)</f>
        <v>1</v>
      </c>
      <c r="N604" t="str">
        <f t="shared" si="9"/>
        <v>R/X</v>
      </c>
    </row>
    <row r="605" spans="1:14" ht="15" customHeight="1" x14ac:dyDescent="0.35">
      <c r="A605">
        <v>54</v>
      </c>
      <c r="B605">
        <v>185</v>
      </c>
      <c r="C605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Master'!$F:$F,B605),"")</f>
        <v>337</v>
      </c>
      <c r="D605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Master'!$F:$F,B605),"")</f>
        <v>0.21099999999999999</v>
      </c>
      <c r="E605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Master'!$F:$F,B605),"")</f>
        <v>0.21099999999999999</v>
      </c>
      <c r="F605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Master'!$F:$F,B605),"")</f>
        <v>7.1999999999999995E-2</v>
      </c>
      <c r="G605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Master'!$F:$F,B605),"")</f>
        <v>143</v>
      </c>
      <c r="H605">
        <f>IF(AND(ISNUMBER(C605),C605&gt;='Bulk Calculator'!U54/('Bulk Calculator'!J54*'Bulk Calculator'!L54)),1,0)</f>
        <v>1</v>
      </c>
      <c r="I605">
        <f>IFERROR(IF(AND(ISNUMBER(E605),ISNUMBER(F605),E605&gt;0,F605&gt;0),SQRT(3)*'Bulk Calculator'!O54*'Bulk Calculator'!AA54*((E605*'Bulk Calculator'!Q54)+(F605*SQRT(1-'Bulk Calculator'!Q54^2)))/'Bulk Calculator'!J54/'Bulk Calculator'!K54*100,D605*'Bulk Calculator'!AA54*'Bulk Calculator'!O54/'Bulk Calculator'!J54/'Bulk Calculator'!K54*100),"")</f>
        <v>0</v>
      </c>
      <c r="J605">
        <f>IFERROR(IF(AND(ISNUMBER(E605),ISNUMBER(F605),E605&gt;0,F605&gt;0),SQRT(3)*'Bulk Calculator'!O54*'Bulk Calculator'!U54*((E605*'Bulk Calculator'!M54)+(F605*SQRT(1-'Bulk Calculator'!M54^2)))/'Bulk Calculator'!J54/'Bulk Calculator'!K54*100,D605*'Bulk Calculator'!U54*'Bulk Calculator'!O54/'Bulk Calculator'!J54/'Bulk Calculator'!K54*100),"")</f>
        <v>0</v>
      </c>
      <c r="K605">
        <f>IFERROR(G605*B605*'Bulk Calculator'!J54/SQRT('Bulk Calculator'!S54)/1000,"")</f>
        <v>59.155178344756941</v>
      </c>
      <c r="L605">
        <f>IF(OR('Bulk Calculator'!R54="",'Bulk Calculator'!S54="",G605=""),0,IF(K605&gt;='Bulk Calculator'!R54,1,0))</f>
        <v>1</v>
      </c>
      <c r="M605">
        <f>IF(AND(H605=1,I605&lt;='OS-DORAEN'!$B$6,J605&lt;='OS-DORAEN'!$B$5,L605=1),1,0)</f>
        <v>1</v>
      </c>
      <c r="N605" t="str">
        <f t="shared" si="9"/>
        <v>R/X</v>
      </c>
    </row>
    <row r="606" spans="1:14" ht="15" customHeight="1" x14ac:dyDescent="0.35">
      <c r="A606">
        <v>54</v>
      </c>
      <c r="B606">
        <v>150</v>
      </c>
      <c r="C606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Master'!$F:$F,B606),"")</f>
        <v>292</v>
      </c>
      <c r="D606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Master'!$F:$F,B606),"")</f>
        <v>0.26500000000000001</v>
      </c>
      <c r="E606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Master'!$F:$F,B606),"")</f>
        <v>0.26500000000000001</v>
      </c>
      <c r="F606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Master'!$F:$F,B606),"")</f>
        <v>7.1999999999999995E-2</v>
      </c>
      <c r="G606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Master'!$F:$F,B606),"")</f>
        <v>143</v>
      </c>
      <c r="H606">
        <f>IF(AND(ISNUMBER(C606),C606&gt;='Bulk Calculator'!U54/('Bulk Calculator'!J54*'Bulk Calculator'!L54)),1,0)</f>
        <v>1</v>
      </c>
      <c r="I606">
        <f>IFERROR(IF(AND(ISNUMBER(E606),ISNUMBER(F606),E606&gt;0,F606&gt;0),SQRT(3)*'Bulk Calculator'!O54*'Bulk Calculator'!AA54*((E606*'Bulk Calculator'!Q54)+(F606*SQRT(1-'Bulk Calculator'!Q54^2)))/'Bulk Calculator'!J54/'Bulk Calculator'!K54*100,D606*'Bulk Calculator'!AA54*'Bulk Calculator'!O54/'Bulk Calculator'!J54/'Bulk Calculator'!K54*100),"")</f>
        <v>0</v>
      </c>
      <c r="J606">
        <f>IFERROR(IF(AND(ISNUMBER(E606),ISNUMBER(F606),E606&gt;0,F606&gt;0),SQRT(3)*'Bulk Calculator'!O54*'Bulk Calculator'!U54*((E606*'Bulk Calculator'!M54)+(F606*SQRT(1-'Bulk Calculator'!M54^2)))/'Bulk Calculator'!J54/'Bulk Calculator'!K54*100,D606*'Bulk Calculator'!U54*'Bulk Calculator'!O54/'Bulk Calculator'!J54/'Bulk Calculator'!K54*100),"")</f>
        <v>0</v>
      </c>
      <c r="K606">
        <f>IFERROR(G606*B606*'Bulk Calculator'!J54/SQRT('Bulk Calculator'!S54)/1000,"")</f>
        <v>47.963658117370493</v>
      </c>
      <c r="L606">
        <f>IF(OR('Bulk Calculator'!R54="",'Bulk Calculator'!S54="",G606=""),0,IF(K606&gt;='Bulk Calculator'!R54,1,0))</f>
        <v>1</v>
      </c>
      <c r="M606">
        <f>IF(AND(H606=1,I606&lt;='OS-DORAEN'!$B$6,J606&lt;='OS-DORAEN'!$B$5,L606=1),1,0)</f>
        <v>1</v>
      </c>
      <c r="N606" t="str">
        <f t="shared" si="9"/>
        <v>R/X</v>
      </c>
    </row>
    <row r="607" spans="1:14" ht="15" customHeight="1" x14ac:dyDescent="0.35">
      <c r="A607">
        <v>54</v>
      </c>
      <c r="B607">
        <v>120</v>
      </c>
      <c r="C607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Master'!$F:$F,B607),"")</f>
        <v>257</v>
      </c>
      <c r="D607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Master'!$F:$F,B607),"")</f>
        <v>0.32500000000000001</v>
      </c>
      <c r="E607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Master'!$F:$F,B607),"")</f>
        <v>0.32500000000000001</v>
      </c>
      <c r="F607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Master'!$F:$F,B607),"")</f>
        <v>7.1999999999999995E-2</v>
      </c>
      <c r="G607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Master'!$F:$F,B607),"")</f>
        <v>143</v>
      </c>
      <c r="H607">
        <f>IF(AND(ISNUMBER(C607),C607&gt;='Bulk Calculator'!U54/('Bulk Calculator'!J54*'Bulk Calculator'!L54)),1,0)</f>
        <v>1</v>
      </c>
      <c r="I607">
        <f>IFERROR(IF(AND(ISNUMBER(E607),ISNUMBER(F607),E607&gt;0,F607&gt;0),SQRT(3)*'Bulk Calculator'!O54*'Bulk Calculator'!AA54*((E607*'Bulk Calculator'!Q54)+(F607*SQRT(1-'Bulk Calculator'!Q54^2)))/'Bulk Calculator'!J54/'Bulk Calculator'!K54*100,D607*'Bulk Calculator'!AA54*'Bulk Calculator'!O54/'Bulk Calculator'!J54/'Bulk Calculator'!K54*100),"")</f>
        <v>0</v>
      </c>
      <c r="J607">
        <f>IFERROR(IF(AND(ISNUMBER(E607),ISNUMBER(F607),E607&gt;0,F607&gt;0),SQRT(3)*'Bulk Calculator'!O54*'Bulk Calculator'!U54*((E607*'Bulk Calculator'!M54)+(F607*SQRT(1-'Bulk Calculator'!M54^2)))/'Bulk Calculator'!J54/'Bulk Calculator'!K54*100,D607*'Bulk Calculator'!U54*'Bulk Calculator'!O54/'Bulk Calculator'!J54/'Bulk Calculator'!K54*100),"")</f>
        <v>0</v>
      </c>
      <c r="K607">
        <f>IFERROR(G607*B607*'Bulk Calculator'!J54/SQRT('Bulk Calculator'!S54)/1000,"")</f>
        <v>38.370926493896391</v>
      </c>
      <c r="L607">
        <f>IF(OR('Bulk Calculator'!R54="",'Bulk Calculator'!S54="",G607=""),0,IF(K607&gt;='Bulk Calculator'!R54,1,0))</f>
        <v>1</v>
      </c>
      <c r="M607">
        <f>IF(AND(H607=1,I607&lt;='OS-DORAEN'!$B$6,J607&lt;='OS-DORAEN'!$B$5,L607=1),1,0)</f>
        <v>1</v>
      </c>
      <c r="N607" t="str">
        <f t="shared" si="9"/>
        <v>R/X</v>
      </c>
    </row>
    <row r="608" spans="1:14" ht="15" customHeight="1" x14ac:dyDescent="0.35">
      <c r="A608">
        <v>54</v>
      </c>
      <c r="B608">
        <v>95</v>
      </c>
      <c r="C608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Master'!$F:$F,B608),"")</f>
        <v>221</v>
      </c>
      <c r="D608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Master'!$F:$F,B608),"")</f>
        <v>0.41</v>
      </c>
      <c r="E608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Master'!$F:$F,B608),"")</f>
        <v>0.41</v>
      </c>
      <c r="F608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Master'!$F:$F,B608),"")</f>
        <v>7.3999999999999996E-2</v>
      </c>
      <c r="G608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Master'!$F:$F,B608),"")</f>
        <v>143</v>
      </c>
      <c r="H608">
        <f>IF(AND(ISNUMBER(C608),C608&gt;='Bulk Calculator'!U54/('Bulk Calculator'!J54*'Bulk Calculator'!L54)),1,0)</f>
        <v>1</v>
      </c>
      <c r="I608">
        <f>IFERROR(IF(AND(ISNUMBER(E608),ISNUMBER(F608),E608&gt;0,F608&gt;0),SQRT(3)*'Bulk Calculator'!O54*'Bulk Calculator'!AA54*((E608*'Bulk Calculator'!Q54)+(F608*SQRT(1-'Bulk Calculator'!Q54^2)))/'Bulk Calculator'!J54/'Bulk Calculator'!K54*100,D608*'Bulk Calculator'!AA54*'Bulk Calculator'!O54/'Bulk Calculator'!J54/'Bulk Calculator'!K54*100),"")</f>
        <v>0</v>
      </c>
      <c r="J608">
        <f>IFERROR(IF(AND(ISNUMBER(E608),ISNUMBER(F608),E608&gt;0,F608&gt;0),SQRT(3)*'Bulk Calculator'!O54*'Bulk Calculator'!U54*((E608*'Bulk Calculator'!M54)+(F608*SQRT(1-'Bulk Calculator'!M54^2)))/'Bulk Calculator'!J54/'Bulk Calculator'!K54*100,D608*'Bulk Calculator'!U54*'Bulk Calculator'!O54/'Bulk Calculator'!J54/'Bulk Calculator'!K54*100),"")</f>
        <v>0</v>
      </c>
      <c r="K608">
        <f>IFERROR(G608*B608*'Bulk Calculator'!J54/SQRT('Bulk Calculator'!S54)/1000,"")</f>
        <v>30.376983474334644</v>
      </c>
      <c r="L608">
        <f>IF(OR('Bulk Calculator'!R54="",'Bulk Calculator'!S54="",G608=""),0,IF(K608&gt;='Bulk Calculator'!R54,1,0))</f>
        <v>1</v>
      </c>
      <c r="M608">
        <f>IF(AND(H608=1,I608&lt;='OS-DORAEN'!$B$6,J608&lt;='OS-DORAEN'!$B$5,L608=1),1,0)</f>
        <v>1</v>
      </c>
      <c r="N608" t="str">
        <f t="shared" si="9"/>
        <v>R/X</v>
      </c>
    </row>
    <row r="609" spans="1:14" ht="15" customHeight="1" x14ac:dyDescent="0.35">
      <c r="A609">
        <v>54</v>
      </c>
      <c r="B609">
        <v>70</v>
      </c>
      <c r="C609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Master'!$F:$F,B609),"")</f>
        <v>179</v>
      </c>
      <c r="D609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Master'!$F:$F,B609),"")</f>
        <v>0.56699999999999995</v>
      </c>
      <c r="E609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Master'!$F:$F,B609),"")</f>
        <v>0.56699999999999995</v>
      </c>
      <c r="F609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Master'!$F:$F,B609),"")</f>
        <v>7.6999999999999999E-2</v>
      </c>
      <c r="G609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Master'!$F:$F,B609),"")</f>
        <v>143</v>
      </c>
      <c r="H609">
        <f>IF(AND(ISNUMBER(C609),C609&gt;='Bulk Calculator'!U54/('Bulk Calculator'!J54*'Bulk Calculator'!L54)),1,0)</f>
        <v>1</v>
      </c>
      <c r="I609">
        <f>IFERROR(IF(AND(ISNUMBER(E609),ISNUMBER(F609),E609&gt;0,F609&gt;0),SQRT(3)*'Bulk Calculator'!O54*'Bulk Calculator'!AA54*((E609*'Bulk Calculator'!Q54)+(F609*SQRT(1-'Bulk Calculator'!Q54^2)))/'Bulk Calculator'!J54/'Bulk Calculator'!K54*100,D609*'Bulk Calculator'!AA54*'Bulk Calculator'!O54/'Bulk Calculator'!J54/'Bulk Calculator'!K54*100),"")</f>
        <v>0</v>
      </c>
      <c r="J609">
        <f>IFERROR(IF(AND(ISNUMBER(E609),ISNUMBER(F609),E609&gt;0,F609&gt;0),SQRT(3)*'Bulk Calculator'!O54*'Bulk Calculator'!U54*((E609*'Bulk Calculator'!M54)+(F609*SQRT(1-'Bulk Calculator'!M54^2)))/'Bulk Calculator'!J54/'Bulk Calculator'!K54*100,D609*'Bulk Calculator'!U54*'Bulk Calculator'!O54/'Bulk Calculator'!J54/'Bulk Calculator'!K54*100),"")</f>
        <v>0</v>
      </c>
      <c r="K609">
        <f>IFERROR(G609*B609*'Bulk Calculator'!J54/SQRT('Bulk Calculator'!S54)/1000,"")</f>
        <v>22.383040454772893</v>
      </c>
      <c r="L609">
        <f>IF(OR('Bulk Calculator'!R54="",'Bulk Calculator'!S54="",G609=""),0,IF(K609&gt;='Bulk Calculator'!R54,1,0))</f>
        <v>1</v>
      </c>
      <c r="M609">
        <f>IF(AND(H609=1,I609&lt;='OS-DORAEN'!$B$6,J609&lt;='OS-DORAEN'!$B$5,L609=1),1,0)</f>
        <v>1</v>
      </c>
      <c r="N609" t="str">
        <f t="shared" si="9"/>
        <v>R/X</v>
      </c>
    </row>
    <row r="610" spans="1:14" ht="15" customHeight="1" x14ac:dyDescent="0.35">
      <c r="A610">
        <v>54</v>
      </c>
      <c r="B610">
        <v>50</v>
      </c>
      <c r="C610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Master'!$F:$F,B610),"")</f>
        <v>142</v>
      </c>
      <c r="D610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Master'!$F:$F,B610),"")</f>
        <v>0.82</v>
      </c>
      <c r="E610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Master'!$F:$F,B610),"")</f>
        <v>0.82</v>
      </c>
      <c r="F610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Master'!$F:$F,B610),"")</f>
        <v>7.8E-2</v>
      </c>
      <c r="G610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Master'!$F:$F,B610),"")</f>
        <v>143</v>
      </c>
      <c r="H610">
        <f>IF(AND(ISNUMBER(C610),C610&gt;='Bulk Calculator'!U54/('Bulk Calculator'!J54*'Bulk Calculator'!L54)),1,0)</f>
        <v>1</v>
      </c>
      <c r="I610">
        <f>IFERROR(IF(AND(ISNUMBER(E610),ISNUMBER(F610),E610&gt;0,F610&gt;0),SQRT(3)*'Bulk Calculator'!O54*'Bulk Calculator'!AA54*((E610*'Bulk Calculator'!Q54)+(F610*SQRT(1-'Bulk Calculator'!Q54^2)))/'Bulk Calculator'!J54/'Bulk Calculator'!K54*100,D610*'Bulk Calculator'!AA54*'Bulk Calculator'!O54/'Bulk Calculator'!J54/'Bulk Calculator'!K54*100),"")</f>
        <v>0</v>
      </c>
      <c r="J610">
        <f>IFERROR(IF(AND(ISNUMBER(E610),ISNUMBER(F610),E610&gt;0,F610&gt;0),SQRT(3)*'Bulk Calculator'!O54*'Bulk Calculator'!U54*((E610*'Bulk Calculator'!M54)+(F610*SQRT(1-'Bulk Calculator'!M54^2)))/'Bulk Calculator'!J54/'Bulk Calculator'!K54*100,D610*'Bulk Calculator'!U54*'Bulk Calculator'!O54/'Bulk Calculator'!J54/'Bulk Calculator'!K54*100),"")</f>
        <v>0</v>
      </c>
      <c r="K610">
        <f>IFERROR(G610*B610*'Bulk Calculator'!J54/SQRT('Bulk Calculator'!S54)/1000,"")</f>
        <v>15.987886039123497</v>
      </c>
      <c r="L610">
        <f>IF(OR('Bulk Calculator'!R54="",'Bulk Calculator'!S54="",G610=""),0,IF(K610&gt;='Bulk Calculator'!R54,1,0))</f>
        <v>1</v>
      </c>
      <c r="M610">
        <f>IF(AND(H610=1,I610&lt;='OS-DORAEN'!$B$6,J610&lt;='OS-DORAEN'!$B$5,L610=1),1,0)</f>
        <v>1</v>
      </c>
      <c r="N610" t="str">
        <f t="shared" si="9"/>
        <v>R/X</v>
      </c>
    </row>
    <row r="611" spans="1:14" ht="15" customHeight="1" x14ac:dyDescent="0.35">
      <c r="A611">
        <v>54</v>
      </c>
      <c r="B611">
        <v>35</v>
      </c>
      <c r="C611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Master'!$F:$F,B611),"")</f>
        <v>117</v>
      </c>
      <c r="D611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Master'!$F:$F,B611),"")</f>
        <v>1.1100000000000001</v>
      </c>
      <c r="E611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Master'!$F:$F,B611),"")</f>
        <v>1.1100000000000001</v>
      </c>
      <c r="F611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Master'!$F:$F,B611),"")</f>
        <v>0.08</v>
      </c>
      <c r="G611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Master'!$F:$F,B611),"")</f>
        <v>143</v>
      </c>
      <c r="H611">
        <f>IF(AND(ISNUMBER(C611),C611&gt;='Bulk Calculator'!U54/('Bulk Calculator'!J54*'Bulk Calculator'!L54)),1,0)</f>
        <v>1</v>
      </c>
      <c r="I611">
        <f>IFERROR(IF(AND(ISNUMBER(E611),ISNUMBER(F611),E611&gt;0,F611&gt;0),SQRT(3)*'Bulk Calculator'!O54*'Bulk Calculator'!AA54*((E611*'Bulk Calculator'!Q54)+(F611*SQRT(1-'Bulk Calculator'!Q54^2)))/'Bulk Calculator'!J54/'Bulk Calculator'!K54*100,D611*'Bulk Calculator'!AA54*'Bulk Calculator'!O54/'Bulk Calculator'!J54/'Bulk Calculator'!K54*100),"")</f>
        <v>0</v>
      </c>
      <c r="J611">
        <f>IFERROR(IF(AND(ISNUMBER(E611),ISNUMBER(F611),E611&gt;0,F611&gt;0),SQRT(3)*'Bulk Calculator'!O54*'Bulk Calculator'!U54*((E611*'Bulk Calculator'!M54)+(F611*SQRT(1-'Bulk Calculator'!M54^2)))/'Bulk Calculator'!J54/'Bulk Calculator'!K54*100,D611*'Bulk Calculator'!U54*'Bulk Calculator'!O54/'Bulk Calculator'!J54/'Bulk Calculator'!K54*100),"")</f>
        <v>0</v>
      </c>
      <c r="K611">
        <f>IFERROR(G611*B611*'Bulk Calculator'!J54/SQRT('Bulk Calculator'!S54)/1000,"")</f>
        <v>11.191520227386446</v>
      </c>
      <c r="L611">
        <f>IF(OR('Bulk Calculator'!R54="",'Bulk Calculator'!S54="",G611=""),0,IF(K611&gt;='Bulk Calculator'!R54,1,0))</f>
        <v>1</v>
      </c>
      <c r="M611">
        <f>IF(AND(H611=1,I611&lt;='OS-DORAEN'!$B$6,J611&lt;='OS-DORAEN'!$B$5,L611=1),1,0)</f>
        <v>1</v>
      </c>
      <c r="N611" t="str">
        <f t="shared" si="9"/>
        <v>R/X</v>
      </c>
    </row>
    <row r="612" spans="1:14" ht="15" customHeight="1" x14ac:dyDescent="0.35">
      <c r="A612">
        <v>54</v>
      </c>
      <c r="B612">
        <v>25</v>
      </c>
      <c r="C612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Master'!$F:$F,B612),"")</f>
        <v>96</v>
      </c>
      <c r="D612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Master'!$F:$F,B612),"")</f>
        <v>1.54</v>
      </c>
      <c r="E612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Master'!$F:$F,B612),"")</f>
        <v>1.54</v>
      </c>
      <c r="F612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Master'!$F:$F,B612),"")</f>
        <v>0.08</v>
      </c>
      <c r="G612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Master'!$F:$F,B612),"")</f>
        <v>143</v>
      </c>
      <c r="H612">
        <f>IF(AND(ISNUMBER(C612),C612&gt;='Bulk Calculator'!U54/('Bulk Calculator'!J54*'Bulk Calculator'!L54)),1,0)</f>
        <v>1</v>
      </c>
      <c r="I612">
        <f>IFERROR(IF(AND(ISNUMBER(E612),ISNUMBER(F612),E612&gt;0,F612&gt;0),SQRT(3)*'Bulk Calculator'!O54*'Bulk Calculator'!AA54*((E612*'Bulk Calculator'!Q54)+(F612*SQRT(1-'Bulk Calculator'!Q54^2)))/'Bulk Calculator'!J54/'Bulk Calculator'!K54*100,D612*'Bulk Calculator'!AA54*'Bulk Calculator'!O54/'Bulk Calculator'!J54/'Bulk Calculator'!K54*100),"")</f>
        <v>0</v>
      </c>
      <c r="J612">
        <f>IFERROR(IF(AND(ISNUMBER(E612),ISNUMBER(F612),E612&gt;0,F612&gt;0),SQRT(3)*'Bulk Calculator'!O54*'Bulk Calculator'!U54*((E612*'Bulk Calculator'!M54)+(F612*SQRT(1-'Bulk Calculator'!M54^2)))/'Bulk Calculator'!J54/'Bulk Calculator'!K54*100,D612*'Bulk Calculator'!U54*'Bulk Calculator'!O54/'Bulk Calculator'!J54/'Bulk Calculator'!K54*100),"")</f>
        <v>0</v>
      </c>
      <c r="K612">
        <f>IFERROR(G612*B612*'Bulk Calculator'!J54/SQRT('Bulk Calculator'!S54)/1000,"")</f>
        <v>7.9939430195617485</v>
      </c>
      <c r="L612">
        <f>IF(OR('Bulk Calculator'!R54="",'Bulk Calculator'!S54="",G612=""),0,IF(K612&gt;='Bulk Calculator'!R54,1,0))</f>
        <v>1</v>
      </c>
      <c r="M612">
        <f>IF(AND(H612=1,I612&lt;='OS-DORAEN'!$B$6,J612&lt;='OS-DORAEN'!$B$5,L612=1),1,0)</f>
        <v>1</v>
      </c>
      <c r="N612" t="str">
        <f t="shared" si="9"/>
        <v>R/X</v>
      </c>
    </row>
    <row r="613" spans="1:14" ht="15" customHeight="1" x14ac:dyDescent="0.35">
      <c r="A613">
        <v>54</v>
      </c>
      <c r="B613">
        <v>16</v>
      </c>
      <c r="C613">
        <f>IFERROR(SUMIFS('Cable Data Master'!$G:$G,'Cable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Master'!$F:$F,B613),"")</f>
        <v>0</v>
      </c>
      <c r="D613">
        <f>IFERROR(SUMIFS('Cable Data Master'!$K:$K,'Cable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Master'!$F:$F,B613),"")</f>
        <v>0</v>
      </c>
      <c r="E613">
        <f>IFERROR(SUMIFS('Cable Data Master'!$H:$H,'Cable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Master'!$F:$F,B613),"")</f>
        <v>0</v>
      </c>
      <c r="F613">
        <f>IFERROR(SUMIFS('Cable Data Master'!$I:$I,'Cable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Master'!$F:$F,B613),"")</f>
        <v>0</v>
      </c>
      <c r="G613">
        <f>IFERROR(SUMIFS('Cable Data Master'!$J:$J,'Cable Data Master'!$A:$A,'Bulk Calculator'!$BF54,'Cable Data Master'!$B:$B,'Bulk Calculator'!$BG54,'Cable Data Master'!$C:$C,'Bulk Calculator'!$BH54,'Cable Data Master'!$D:$D,'Bulk Calculator'!$BI54,'Cable Data Master'!$E:$E,'Bulk Calculator'!$BJ54,'Cable Data Master'!$F:$F,B613),"")</f>
        <v>0</v>
      </c>
      <c r="H613">
        <f>IF(AND(ISNUMBER(C613),C613&gt;='Bulk Calculator'!U54/('Bulk Calculator'!J54*'Bulk Calculator'!L54)),1,0)</f>
        <v>1</v>
      </c>
      <c r="I613">
        <f>IFERROR(IF(AND(ISNUMBER(E613),ISNUMBER(F613),E613&gt;0,F613&gt;0),SQRT(3)*'Bulk Calculator'!O54*'Bulk Calculator'!AA54*((E613*'Bulk Calculator'!Q54)+(F613*SQRT(1-'Bulk Calculator'!Q54^2)))/'Bulk Calculator'!J54/'Bulk Calculator'!K54*100,D613*'Bulk Calculator'!AA54*'Bulk Calculator'!O54/'Bulk Calculator'!J54/'Bulk Calculator'!K54*100),"")</f>
        <v>0</v>
      </c>
      <c r="J613">
        <f>IFERROR(IF(AND(ISNUMBER(E613),ISNUMBER(F613),E613&gt;0,F613&gt;0),SQRT(3)*'Bulk Calculator'!O54*'Bulk Calculator'!U54*((E613*'Bulk Calculator'!M54)+(F613*SQRT(1-'Bulk Calculator'!M54^2)))/'Bulk Calculator'!J54/'Bulk Calculator'!K54*100,D613*'Bulk Calculator'!U54*'Bulk Calculator'!O54/'Bulk Calculator'!J54/'Bulk Calculator'!K54*100),"")</f>
        <v>0</v>
      </c>
      <c r="K613">
        <f>IFERROR(G613*B613*'Bulk Calculator'!J54/SQRT('Bulk Calculator'!S54)/1000,"")</f>
        <v>0</v>
      </c>
      <c r="L613">
        <f>IF(OR('Bulk Calculator'!R54="",'Bulk Calculator'!S54="",G613=""),0,IF(K613&gt;='Bulk Calculator'!R54,1,0))</f>
        <v>1</v>
      </c>
      <c r="M613">
        <f>IF(AND(H613=1,I613&lt;='OS-DORAEN'!$B$6,J613&lt;='OS-DORAEN'!$B$5,L613=1),1,0)</f>
        <v>1</v>
      </c>
      <c r="N613" t="str">
        <f t="shared" si="9"/>
        <v>Manufacturer VD Ref</v>
      </c>
    </row>
    <row r="614" spans="1:14" ht="15" customHeight="1" x14ac:dyDescent="0.35">
      <c r="A614">
        <v>55</v>
      </c>
      <c r="B614">
        <v>400</v>
      </c>
      <c r="C614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Master'!$F:$F,B614),"")</f>
        <v>530</v>
      </c>
      <c r="D614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Master'!$F:$F,B614),"")</f>
        <v>0.1023</v>
      </c>
      <c r="E614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Master'!$F:$F,B614),"")</f>
        <v>0.1023</v>
      </c>
      <c r="F614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Master'!$F:$F,B614),"")</f>
        <v>7.0000000000000007E-2</v>
      </c>
      <c r="G614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Master'!$F:$F,B614),"")</f>
        <v>143</v>
      </c>
      <c r="H614">
        <f>IF(AND(ISNUMBER(C614),C614&gt;='Bulk Calculator'!U55/('Bulk Calculator'!J55*'Bulk Calculator'!L55)),1,0)</f>
        <v>1</v>
      </c>
      <c r="I614">
        <f>IFERROR(IF(AND(ISNUMBER(E614),ISNUMBER(F614),E614&gt;0,F614&gt;0),SQRT(3)*'Bulk Calculator'!O55*'Bulk Calculator'!AA55*((E614*'Bulk Calculator'!Q55)+(F614*SQRT(1-'Bulk Calculator'!Q55^2)))/'Bulk Calculator'!J55/'Bulk Calculator'!K55*100,D614*'Bulk Calculator'!AA55*'Bulk Calculator'!O55/'Bulk Calculator'!J55/'Bulk Calculator'!K55*100),"")</f>
        <v>0</v>
      </c>
      <c r="J614">
        <f>IFERROR(IF(AND(ISNUMBER(E614),ISNUMBER(F614),E614&gt;0,F614&gt;0),SQRT(3)*'Bulk Calculator'!O55*'Bulk Calculator'!U55*((E614*'Bulk Calculator'!M55)+(F614*SQRT(1-'Bulk Calculator'!M55^2)))/'Bulk Calculator'!J55/'Bulk Calculator'!K55*100,D614*'Bulk Calculator'!U55*'Bulk Calculator'!O55/'Bulk Calculator'!J55/'Bulk Calculator'!K55*100),"")</f>
        <v>0</v>
      </c>
      <c r="K614">
        <f>IFERROR(G614*B614*'Bulk Calculator'!J55/SQRT('Bulk Calculator'!S55)/1000,"")</f>
        <v>127.90308831298798</v>
      </c>
      <c r="L614">
        <f>IF(OR('Bulk Calculator'!R55="",'Bulk Calculator'!S55="",G614=""),0,IF(K614&gt;='Bulk Calculator'!R55,1,0))</f>
        <v>1</v>
      </c>
      <c r="M614">
        <f>IF(AND(H614=1,I614&lt;='OS-DORAEN'!$B$6,J614&lt;='OS-DORAEN'!$B$5,L614=1),1,0)</f>
        <v>1</v>
      </c>
      <c r="N614" t="str">
        <f t="shared" si="9"/>
        <v>R/X</v>
      </c>
    </row>
    <row r="615" spans="1:14" ht="15" customHeight="1" x14ac:dyDescent="0.35">
      <c r="A615">
        <v>55</v>
      </c>
      <c r="B615">
        <v>300</v>
      </c>
      <c r="C615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Master'!$F:$F,B615),"")</f>
        <v>455</v>
      </c>
      <c r="D615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Master'!$F:$F,B615),"")</f>
        <v>0.13</v>
      </c>
      <c r="E615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Master'!$F:$F,B615),"")</f>
        <v>0.13</v>
      </c>
      <c r="F615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Master'!$F:$F,B615),"")</f>
        <v>7.0999999999999994E-2</v>
      </c>
      <c r="G615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Master'!$F:$F,B615),"")</f>
        <v>143</v>
      </c>
      <c r="H615">
        <f>IF(AND(ISNUMBER(C615),C615&gt;='Bulk Calculator'!U55/('Bulk Calculator'!J55*'Bulk Calculator'!L55)),1,0)</f>
        <v>1</v>
      </c>
      <c r="I615">
        <f>IFERROR(IF(AND(ISNUMBER(E615),ISNUMBER(F615),E615&gt;0,F615&gt;0),SQRT(3)*'Bulk Calculator'!O55*'Bulk Calculator'!AA55*((E615*'Bulk Calculator'!Q55)+(F615*SQRT(1-'Bulk Calculator'!Q55^2)))/'Bulk Calculator'!J55/'Bulk Calculator'!K55*100,D615*'Bulk Calculator'!AA55*'Bulk Calculator'!O55/'Bulk Calculator'!J55/'Bulk Calculator'!K55*100),"")</f>
        <v>0</v>
      </c>
      <c r="J615">
        <f>IFERROR(IF(AND(ISNUMBER(E615),ISNUMBER(F615),E615&gt;0,F615&gt;0),SQRT(3)*'Bulk Calculator'!O55*'Bulk Calculator'!U55*((E615*'Bulk Calculator'!M55)+(F615*SQRT(1-'Bulk Calculator'!M55^2)))/'Bulk Calculator'!J55/'Bulk Calculator'!K55*100,D615*'Bulk Calculator'!U55*'Bulk Calculator'!O55/'Bulk Calculator'!J55/'Bulk Calculator'!K55*100),"")</f>
        <v>0</v>
      </c>
      <c r="K615">
        <f>IFERROR(G615*B615*'Bulk Calculator'!J55/SQRT('Bulk Calculator'!S55)/1000,"")</f>
        <v>95.927316234740985</v>
      </c>
      <c r="L615">
        <f>IF(OR('Bulk Calculator'!R55="",'Bulk Calculator'!S55="",G615=""),0,IF(K615&gt;='Bulk Calculator'!R55,1,0))</f>
        <v>1</v>
      </c>
      <c r="M615">
        <f>IF(AND(H615=1,I615&lt;='OS-DORAEN'!$B$6,J615&lt;='OS-DORAEN'!$B$5,L615=1),1,0)</f>
        <v>1</v>
      </c>
      <c r="N615" t="str">
        <f t="shared" si="9"/>
        <v>R/X</v>
      </c>
    </row>
    <row r="616" spans="1:14" ht="15" customHeight="1" x14ac:dyDescent="0.35">
      <c r="A616">
        <v>55</v>
      </c>
      <c r="B616">
        <v>240</v>
      </c>
      <c r="C616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Master'!$F:$F,B616),"")</f>
        <v>399</v>
      </c>
      <c r="D616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Master'!$F:$F,B616),"")</f>
        <v>0.16200000000000001</v>
      </c>
      <c r="E616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Master'!$F:$F,B616),"")</f>
        <v>0.16200000000000001</v>
      </c>
      <c r="F616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Master'!$F:$F,B616),"")</f>
        <v>7.1999999999999995E-2</v>
      </c>
      <c r="G616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Master'!$F:$F,B616),"")</f>
        <v>143</v>
      </c>
      <c r="H616">
        <f>IF(AND(ISNUMBER(C616),C616&gt;='Bulk Calculator'!U55/('Bulk Calculator'!J55*'Bulk Calculator'!L55)),1,0)</f>
        <v>1</v>
      </c>
      <c r="I616">
        <f>IFERROR(IF(AND(ISNUMBER(E616),ISNUMBER(F616),E616&gt;0,F616&gt;0),SQRT(3)*'Bulk Calculator'!O55*'Bulk Calculator'!AA55*((E616*'Bulk Calculator'!Q55)+(F616*SQRT(1-'Bulk Calculator'!Q55^2)))/'Bulk Calculator'!J55/'Bulk Calculator'!K55*100,D616*'Bulk Calculator'!AA55*'Bulk Calculator'!O55/'Bulk Calculator'!J55/'Bulk Calculator'!K55*100),"")</f>
        <v>0</v>
      </c>
      <c r="J616">
        <f>IFERROR(IF(AND(ISNUMBER(E616),ISNUMBER(F616),E616&gt;0,F616&gt;0),SQRT(3)*'Bulk Calculator'!O55*'Bulk Calculator'!U55*((E616*'Bulk Calculator'!M55)+(F616*SQRT(1-'Bulk Calculator'!M55^2)))/'Bulk Calculator'!J55/'Bulk Calculator'!K55*100,D616*'Bulk Calculator'!U55*'Bulk Calculator'!O55/'Bulk Calculator'!J55/'Bulk Calculator'!K55*100),"")</f>
        <v>0</v>
      </c>
      <c r="K616">
        <f>IFERROR(G616*B616*'Bulk Calculator'!J55/SQRT('Bulk Calculator'!S55)/1000,"")</f>
        <v>76.741852987792782</v>
      </c>
      <c r="L616">
        <f>IF(OR('Bulk Calculator'!R55="",'Bulk Calculator'!S55="",G616=""),0,IF(K616&gt;='Bulk Calculator'!R55,1,0))</f>
        <v>1</v>
      </c>
      <c r="M616">
        <f>IF(AND(H616=1,I616&lt;='OS-DORAEN'!$B$6,J616&lt;='OS-DORAEN'!$B$5,L616=1),1,0)</f>
        <v>1</v>
      </c>
      <c r="N616" t="str">
        <f t="shared" si="9"/>
        <v>R/X</v>
      </c>
    </row>
    <row r="617" spans="1:14" ht="15" customHeight="1" x14ac:dyDescent="0.35">
      <c r="A617">
        <v>55</v>
      </c>
      <c r="B617">
        <v>185</v>
      </c>
      <c r="C617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Master'!$F:$F,B617),"")</f>
        <v>337</v>
      </c>
      <c r="D617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Master'!$F:$F,B617),"")</f>
        <v>0.21099999999999999</v>
      </c>
      <c r="E617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Master'!$F:$F,B617),"")</f>
        <v>0.21099999999999999</v>
      </c>
      <c r="F617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Master'!$F:$F,B617),"")</f>
        <v>7.1999999999999995E-2</v>
      </c>
      <c r="G617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Master'!$F:$F,B617),"")</f>
        <v>143</v>
      </c>
      <c r="H617">
        <f>IF(AND(ISNUMBER(C617),C617&gt;='Bulk Calculator'!U55/('Bulk Calculator'!J55*'Bulk Calculator'!L55)),1,0)</f>
        <v>1</v>
      </c>
      <c r="I617">
        <f>IFERROR(IF(AND(ISNUMBER(E617),ISNUMBER(F617),E617&gt;0,F617&gt;0),SQRT(3)*'Bulk Calculator'!O55*'Bulk Calculator'!AA55*((E617*'Bulk Calculator'!Q55)+(F617*SQRT(1-'Bulk Calculator'!Q55^2)))/'Bulk Calculator'!J55/'Bulk Calculator'!K55*100,D617*'Bulk Calculator'!AA55*'Bulk Calculator'!O55/'Bulk Calculator'!J55/'Bulk Calculator'!K55*100),"")</f>
        <v>0</v>
      </c>
      <c r="J617">
        <f>IFERROR(IF(AND(ISNUMBER(E617),ISNUMBER(F617),E617&gt;0,F617&gt;0),SQRT(3)*'Bulk Calculator'!O55*'Bulk Calculator'!U55*((E617*'Bulk Calculator'!M55)+(F617*SQRT(1-'Bulk Calculator'!M55^2)))/'Bulk Calculator'!J55/'Bulk Calculator'!K55*100,D617*'Bulk Calculator'!U55*'Bulk Calculator'!O55/'Bulk Calculator'!J55/'Bulk Calculator'!K55*100),"")</f>
        <v>0</v>
      </c>
      <c r="K617">
        <f>IFERROR(G617*B617*'Bulk Calculator'!J55/SQRT('Bulk Calculator'!S55)/1000,"")</f>
        <v>59.155178344756941</v>
      </c>
      <c r="L617">
        <f>IF(OR('Bulk Calculator'!R55="",'Bulk Calculator'!S55="",G617=""),0,IF(K617&gt;='Bulk Calculator'!R55,1,0))</f>
        <v>1</v>
      </c>
      <c r="M617">
        <f>IF(AND(H617=1,I617&lt;='OS-DORAEN'!$B$6,J617&lt;='OS-DORAEN'!$B$5,L617=1),1,0)</f>
        <v>1</v>
      </c>
      <c r="N617" t="str">
        <f t="shared" si="9"/>
        <v>R/X</v>
      </c>
    </row>
    <row r="618" spans="1:14" ht="15" customHeight="1" x14ac:dyDescent="0.35">
      <c r="A618">
        <v>55</v>
      </c>
      <c r="B618">
        <v>150</v>
      </c>
      <c r="C618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Master'!$F:$F,B618),"")</f>
        <v>292</v>
      </c>
      <c r="D618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Master'!$F:$F,B618),"")</f>
        <v>0.26500000000000001</v>
      </c>
      <c r="E618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Master'!$F:$F,B618),"")</f>
        <v>0.26500000000000001</v>
      </c>
      <c r="F618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Master'!$F:$F,B618),"")</f>
        <v>7.1999999999999995E-2</v>
      </c>
      <c r="G618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Master'!$F:$F,B618),"")</f>
        <v>143</v>
      </c>
      <c r="H618">
        <f>IF(AND(ISNUMBER(C618),C618&gt;='Bulk Calculator'!U55/('Bulk Calculator'!J55*'Bulk Calculator'!L55)),1,0)</f>
        <v>1</v>
      </c>
      <c r="I618">
        <f>IFERROR(IF(AND(ISNUMBER(E618),ISNUMBER(F618),E618&gt;0,F618&gt;0),SQRT(3)*'Bulk Calculator'!O55*'Bulk Calculator'!AA55*((E618*'Bulk Calculator'!Q55)+(F618*SQRT(1-'Bulk Calculator'!Q55^2)))/'Bulk Calculator'!J55/'Bulk Calculator'!K55*100,D618*'Bulk Calculator'!AA55*'Bulk Calculator'!O55/'Bulk Calculator'!J55/'Bulk Calculator'!K55*100),"")</f>
        <v>0</v>
      </c>
      <c r="J618">
        <f>IFERROR(IF(AND(ISNUMBER(E618),ISNUMBER(F618),E618&gt;0,F618&gt;0),SQRT(3)*'Bulk Calculator'!O55*'Bulk Calculator'!U55*((E618*'Bulk Calculator'!M55)+(F618*SQRT(1-'Bulk Calculator'!M55^2)))/'Bulk Calculator'!J55/'Bulk Calculator'!K55*100,D618*'Bulk Calculator'!U55*'Bulk Calculator'!O55/'Bulk Calculator'!J55/'Bulk Calculator'!K55*100),"")</f>
        <v>0</v>
      </c>
      <c r="K618">
        <f>IFERROR(G618*B618*'Bulk Calculator'!J55/SQRT('Bulk Calculator'!S55)/1000,"")</f>
        <v>47.963658117370493</v>
      </c>
      <c r="L618">
        <f>IF(OR('Bulk Calculator'!R55="",'Bulk Calculator'!S55="",G618=""),0,IF(K618&gt;='Bulk Calculator'!R55,1,0))</f>
        <v>1</v>
      </c>
      <c r="M618">
        <f>IF(AND(H618=1,I618&lt;='OS-DORAEN'!$B$6,J618&lt;='OS-DORAEN'!$B$5,L618=1),1,0)</f>
        <v>1</v>
      </c>
      <c r="N618" t="str">
        <f t="shared" si="9"/>
        <v>R/X</v>
      </c>
    </row>
    <row r="619" spans="1:14" ht="15" customHeight="1" x14ac:dyDescent="0.35">
      <c r="A619">
        <v>55</v>
      </c>
      <c r="B619">
        <v>120</v>
      </c>
      <c r="C619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Master'!$F:$F,B619),"")</f>
        <v>257</v>
      </c>
      <c r="D619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Master'!$F:$F,B619),"")</f>
        <v>0.32500000000000001</v>
      </c>
      <c r="E619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Master'!$F:$F,B619),"")</f>
        <v>0.32500000000000001</v>
      </c>
      <c r="F619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Master'!$F:$F,B619),"")</f>
        <v>7.1999999999999995E-2</v>
      </c>
      <c r="G619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Master'!$F:$F,B619),"")</f>
        <v>143</v>
      </c>
      <c r="H619">
        <f>IF(AND(ISNUMBER(C619),C619&gt;='Bulk Calculator'!U55/('Bulk Calculator'!J55*'Bulk Calculator'!L55)),1,0)</f>
        <v>1</v>
      </c>
      <c r="I619">
        <f>IFERROR(IF(AND(ISNUMBER(E619),ISNUMBER(F619),E619&gt;0,F619&gt;0),SQRT(3)*'Bulk Calculator'!O55*'Bulk Calculator'!AA55*((E619*'Bulk Calculator'!Q55)+(F619*SQRT(1-'Bulk Calculator'!Q55^2)))/'Bulk Calculator'!J55/'Bulk Calculator'!K55*100,D619*'Bulk Calculator'!AA55*'Bulk Calculator'!O55/'Bulk Calculator'!J55/'Bulk Calculator'!K55*100),"")</f>
        <v>0</v>
      </c>
      <c r="J619">
        <f>IFERROR(IF(AND(ISNUMBER(E619),ISNUMBER(F619),E619&gt;0,F619&gt;0),SQRT(3)*'Bulk Calculator'!O55*'Bulk Calculator'!U55*((E619*'Bulk Calculator'!M55)+(F619*SQRT(1-'Bulk Calculator'!M55^2)))/'Bulk Calculator'!J55/'Bulk Calculator'!K55*100,D619*'Bulk Calculator'!U55*'Bulk Calculator'!O55/'Bulk Calculator'!J55/'Bulk Calculator'!K55*100),"")</f>
        <v>0</v>
      </c>
      <c r="K619">
        <f>IFERROR(G619*B619*'Bulk Calculator'!J55/SQRT('Bulk Calculator'!S55)/1000,"")</f>
        <v>38.370926493896391</v>
      </c>
      <c r="L619">
        <f>IF(OR('Bulk Calculator'!R55="",'Bulk Calculator'!S55="",G619=""),0,IF(K619&gt;='Bulk Calculator'!R55,1,0))</f>
        <v>1</v>
      </c>
      <c r="M619">
        <f>IF(AND(H619=1,I619&lt;='OS-DORAEN'!$B$6,J619&lt;='OS-DORAEN'!$B$5,L619=1),1,0)</f>
        <v>1</v>
      </c>
      <c r="N619" t="str">
        <f t="shared" si="9"/>
        <v>R/X</v>
      </c>
    </row>
    <row r="620" spans="1:14" ht="15" customHeight="1" x14ac:dyDescent="0.35">
      <c r="A620">
        <v>55</v>
      </c>
      <c r="B620">
        <v>95</v>
      </c>
      <c r="C620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Master'!$F:$F,B620),"")</f>
        <v>221</v>
      </c>
      <c r="D620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Master'!$F:$F,B620),"")</f>
        <v>0.41</v>
      </c>
      <c r="E620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Master'!$F:$F,B620),"")</f>
        <v>0.41</v>
      </c>
      <c r="F620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Master'!$F:$F,B620),"")</f>
        <v>7.3999999999999996E-2</v>
      </c>
      <c r="G620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Master'!$F:$F,B620),"")</f>
        <v>143</v>
      </c>
      <c r="H620">
        <f>IF(AND(ISNUMBER(C620),C620&gt;='Bulk Calculator'!U55/('Bulk Calculator'!J55*'Bulk Calculator'!L55)),1,0)</f>
        <v>1</v>
      </c>
      <c r="I620">
        <f>IFERROR(IF(AND(ISNUMBER(E620),ISNUMBER(F620),E620&gt;0,F620&gt;0),SQRT(3)*'Bulk Calculator'!O55*'Bulk Calculator'!AA55*((E620*'Bulk Calculator'!Q55)+(F620*SQRT(1-'Bulk Calculator'!Q55^2)))/'Bulk Calculator'!J55/'Bulk Calculator'!K55*100,D620*'Bulk Calculator'!AA55*'Bulk Calculator'!O55/'Bulk Calculator'!J55/'Bulk Calculator'!K55*100),"")</f>
        <v>0</v>
      </c>
      <c r="J620">
        <f>IFERROR(IF(AND(ISNUMBER(E620),ISNUMBER(F620),E620&gt;0,F620&gt;0),SQRT(3)*'Bulk Calculator'!O55*'Bulk Calculator'!U55*((E620*'Bulk Calculator'!M55)+(F620*SQRT(1-'Bulk Calculator'!M55^2)))/'Bulk Calculator'!J55/'Bulk Calculator'!K55*100,D620*'Bulk Calculator'!U55*'Bulk Calculator'!O55/'Bulk Calculator'!J55/'Bulk Calculator'!K55*100),"")</f>
        <v>0</v>
      </c>
      <c r="K620">
        <f>IFERROR(G620*B620*'Bulk Calculator'!J55/SQRT('Bulk Calculator'!S55)/1000,"")</f>
        <v>30.376983474334644</v>
      </c>
      <c r="L620">
        <f>IF(OR('Bulk Calculator'!R55="",'Bulk Calculator'!S55="",G620=""),0,IF(K620&gt;='Bulk Calculator'!R55,1,0))</f>
        <v>1</v>
      </c>
      <c r="M620">
        <f>IF(AND(H620=1,I620&lt;='OS-DORAEN'!$B$6,J620&lt;='OS-DORAEN'!$B$5,L620=1),1,0)</f>
        <v>1</v>
      </c>
      <c r="N620" t="str">
        <f t="shared" si="9"/>
        <v>R/X</v>
      </c>
    </row>
    <row r="621" spans="1:14" ht="15" customHeight="1" x14ac:dyDescent="0.35">
      <c r="A621">
        <v>55</v>
      </c>
      <c r="B621">
        <v>70</v>
      </c>
      <c r="C621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Master'!$F:$F,B621),"")</f>
        <v>179</v>
      </c>
      <c r="D621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Master'!$F:$F,B621),"")</f>
        <v>0.56699999999999995</v>
      </c>
      <c r="E621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Master'!$F:$F,B621),"")</f>
        <v>0.56699999999999995</v>
      </c>
      <c r="F621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Master'!$F:$F,B621),"")</f>
        <v>7.6999999999999999E-2</v>
      </c>
      <c r="G621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Master'!$F:$F,B621),"")</f>
        <v>143</v>
      </c>
      <c r="H621">
        <f>IF(AND(ISNUMBER(C621),C621&gt;='Bulk Calculator'!U55/('Bulk Calculator'!J55*'Bulk Calculator'!L55)),1,0)</f>
        <v>1</v>
      </c>
      <c r="I621">
        <f>IFERROR(IF(AND(ISNUMBER(E621),ISNUMBER(F621),E621&gt;0,F621&gt;0),SQRT(3)*'Bulk Calculator'!O55*'Bulk Calculator'!AA55*((E621*'Bulk Calculator'!Q55)+(F621*SQRT(1-'Bulk Calculator'!Q55^2)))/'Bulk Calculator'!J55/'Bulk Calculator'!K55*100,D621*'Bulk Calculator'!AA55*'Bulk Calculator'!O55/'Bulk Calculator'!J55/'Bulk Calculator'!K55*100),"")</f>
        <v>0</v>
      </c>
      <c r="J621">
        <f>IFERROR(IF(AND(ISNUMBER(E621),ISNUMBER(F621),E621&gt;0,F621&gt;0),SQRT(3)*'Bulk Calculator'!O55*'Bulk Calculator'!U55*((E621*'Bulk Calculator'!M55)+(F621*SQRT(1-'Bulk Calculator'!M55^2)))/'Bulk Calculator'!J55/'Bulk Calculator'!K55*100,D621*'Bulk Calculator'!U55*'Bulk Calculator'!O55/'Bulk Calculator'!J55/'Bulk Calculator'!K55*100),"")</f>
        <v>0</v>
      </c>
      <c r="K621">
        <f>IFERROR(G621*B621*'Bulk Calculator'!J55/SQRT('Bulk Calculator'!S55)/1000,"")</f>
        <v>22.383040454772893</v>
      </c>
      <c r="L621">
        <f>IF(OR('Bulk Calculator'!R55="",'Bulk Calculator'!S55="",G621=""),0,IF(K621&gt;='Bulk Calculator'!R55,1,0))</f>
        <v>1</v>
      </c>
      <c r="M621">
        <f>IF(AND(H621=1,I621&lt;='OS-DORAEN'!$B$6,J621&lt;='OS-DORAEN'!$B$5,L621=1),1,0)</f>
        <v>1</v>
      </c>
      <c r="N621" t="str">
        <f t="shared" si="9"/>
        <v>R/X</v>
      </c>
    </row>
    <row r="622" spans="1:14" ht="15" customHeight="1" x14ac:dyDescent="0.35">
      <c r="A622">
        <v>55</v>
      </c>
      <c r="B622">
        <v>50</v>
      </c>
      <c r="C622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Master'!$F:$F,B622),"")</f>
        <v>142</v>
      </c>
      <c r="D622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Master'!$F:$F,B622),"")</f>
        <v>0.82</v>
      </c>
      <c r="E622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Master'!$F:$F,B622),"")</f>
        <v>0.82</v>
      </c>
      <c r="F622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Master'!$F:$F,B622),"")</f>
        <v>7.8E-2</v>
      </c>
      <c r="G622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Master'!$F:$F,B622),"")</f>
        <v>143</v>
      </c>
      <c r="H622">
        <f>IF(AND(ISNUMBER(C622),C622&gt;='Bulk Calculator'!U55/('Bulk Calculator'!J55*'Bulk Calculator'!L55)),1,0)</f>
        <v>1</v>
      </c>
      <c r="I622">
        <f>IFERROR(IF(AND(ISNUMBER(E622),ISNUMBER(F622),E622&gt;0,F622&gt;0),SQRT(3)*'Bulk Calculator'!O55*'Bulk Calculator'!AA55*((E622*'Bulk Calculator'!Q55)+(F622*SQRT(1-'Bulk Calculator'!Q55^2)))/'Bulk Calculator'!J55/'Bulk Calculator'!K55*100,D622*'Bulk Calculator'!AA55*'Bulk Calculator'!O55/'Bulk Calculator'!J55/'Bulk Calculator'!K55*100),"")</f>
        <v>0</v>
      </c>
      <c r="J622">
        <f>IFERROR(IF(AND(ISNUMBER(E622),ISNUMBER(F622),E622&gt;0,F622&gt;0),SQRT(3)*'Bulk Calculator'!O55*'Bulk Calculator'!U55*((E622*'Bulk Calculator'!M55)+(F622*SQRT(1-'Bulk Calculator'!M55^2)))/'Bulk Calculator'!J55/'Bulk Calculator'!K55*100,D622*'Bulk Calculator'!U55*'Bulk Calculator'!O55/'Bulk Calculator'!J55/'Bulk Calculator'!K55*100),"")</f>
        <v>0</v>
      </c>
      <c r="K622">
        <f>IFERROR(G622*B622*'Bulk Calculator'!J55/SQRT('Bulk Calculator'!S55)/1000,"")</f>
        <v>15.987886039123497</v>
      </c>
      <c r="L622">
        <f>IF(OR('Bulk Calculator'!R55="",'Bulk Calculator'!S55="",G622=""),0,IF(K622&gt;='Bulk Calculator'!R55,1,0))</f>
        <v>1</v>
      </c>
      <c r="M622">
        <f>IF(AND(H622=1,I622&lt;='OS-DORAEN'!$B$6,J622&lt;='OS-DORAEN'!$B$5,L622=1),1,0)</f>
        <v>1</v>
      </c>
      <c r="N622" t="str">
        <f t="shared" si="9"/>
        <v>R/X</v>
      </c>
    </row>
    <row r="623" spans="1:14" ht="15" customHeight="1" x14ac:dyDescent="0.35">
      <c r="A623">
        <v>55</v>
      </c>
      <c r="B623">
        <v>35</v>
      </c>
      <c r="C623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Master'!$F:$F,B623),"")</f>
        <v>117</v>
      </c>
      <c r="D623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Master'!$F:$F,B623),"")</f>
        <v>1.1100000000000001</v>
      </c>
      <c r="E623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Master'!$F:$F,B623),"")</f>
        <v>1.1100000000000001</v>
      </c>
      <c r="F623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Master'!$F:$F,B623),"")</f>
        <v>0.08</v>
      </c>
      <c r="G623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Master'!$F:$F,B623),"")</f>
        <v>143</v>
      </c>
      <c r="H623">
        <f>IF(AND(ISNUMBER(C623),C623&gt;='Bulk Calculator'!U55/('Bulk Calculator'!J55*'Bulk Calculator'!L55)),1,0)</f>
        <v>1</v>
      </c>
      <c r="I623">
        <f>IFERROR(IF(AND(ISNUMBER(E623),ISNUMBER(F623),E623&gt;0,F623&gt;0),SQRT(3)*'Bulk Calculator'!O55*'Bulk Calculator'!AA55*((E623*'Bulk Calculator'!Q55)+(F623*SQRT(1-'Bulk Calculator'!Q55^2)))/'Bulk Calculator'!J55/'Bulk Calculator'!K55*100,D623*'Bulk Calculator'!AA55*'Bulk Calculator'!O55/'Bulk Calculator'!J55/'Bulk Calculator'!K55*100),"")</f>
        <v>0</v>
      </c>
      <c r="J623">
        <f>IFERROR(IF(AND(ISNUMBER(E623),ISNUMBER(F623),E623&gt;0,F623&gt;0),SQRT(3)*'Bulk Calculator'!O55*'Bulk Calculator'!U55*((E623*'Bulk Calculator'!M55)+(F623*SQRT(1-'Bulk Calculator'!M55^2)))/'Bulk Calculator'!J55/'Bulk Calculator'!K55*100,D623*'Bulk Calculator'!U55*'Bulk Calculator'!O55/'Bulk Calculator'!J55/'Bulk Calculator'!K55*100),"")</f>
        <v>0</v>
      </c>
      <c r="K623">
        <f>IFERROR(G623*B623*'Bulk Calculator'!J55/SQRT('Bulk Calculator'!S55)/1000,"")</f>
        <v>11.191520227386446</v>
      </c>
      <c r="L623">
        <f>IF(OR('Bulk Calculator'!R55="",'Bulk Calculator'!S55="",G623=""),0,IF(K623&gt;='Bulk Calculator'!R55,1,0))</f>
        <v>1</v>
      </c>
      <c r="M623">
        <f>IF(AND(H623=1,I623&lt;='OS-DORAEN'!$B$6,J623&lt;='OS-DORAEN'!$B$5,L623=1),1,0)</f>
        <v>1</v>
      </c>
      <c r="N623" t="str">
        <f t="shared" si="9"/>
        <v>R/X</v>
      </c>
    </row>
    <row r="624" spans="1:14" ht="15" customHeight="1" x14ac:dyDescent="0.35">
      <c r="A624">
        <v>55</v>
      </c>
      <c r="B624">
        <v>25</v>
      </c>
      <c r="C624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Master'!$F:$F,B624),"")</f>
        <v>96</v>
      </c>
      <c r="D624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Master'!$F:$F,B624),"")</f>
        <v>1.54</v>
      </c>
      <c r="E624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Master'!$F:$F,B624),"")</f>
        <v>1.54</v>
      </c>
      <c r="F624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Master'!$F:$F,B624),"")</f>
        <v>0.08</v>
      </c>
      <c r="G624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Master'!$F:$F,B624),"")</f>
        <v>143</v>
      </c>
      <c r="H624">
        <f>IF(AND(ISNUMBER(C624),C624&gt;='Bulk Calculator'!U55/('Bulk Calculator'!J55*'Bulk Calculator'!L55)),1,0)</f>
        <v>1</v>
      </c>
      <c r="I624">
        <f>IFERROR(IF(AND(ISNUMBER(E624),ISNUMBER(F624),E624&gt;0,F624&gt;0),SQRT(3)*'Bulk Calculator'!O55*'Bulk Calculator'!AA55*((E624*'Bulk Calculator'!Q55)+(F624*SQRT(1-'Bulk Calculator'!Q55^2)))/'Bulk Calculator'!J55/'Bulk Calculator'!K55*100,D624*'Bulk Calculator'!AA55*'Bulk Calculator'!O55/'Bulk Calculator'!J55/'Bulk Calculator'!K55*100),"")</f>
        <v>0</v>
      </c>
      <c r="J624">
        <f>IFERROR(IF(AND(ISNUMBER(E624),ISNUMBER(F624),E624&gt;0,F624&gt;0),SQRT(3)*'Bulk Calculator'!O55*'Bulk Calculator'!U55*((E624*'Bulk Calculator'!M55)+(F624*SQRT(1-'Bulk Calculator'!M55^2)))/'Bulk Calculator'!J55/'Bulk Calculator'!K55*100,D624*'Bulk Calculator'!U55*'Bulk Calculator'!O55/'Bulk Calculator'!J55/'Bulk Calculator'!K55*100),"")</f>
        <v>0</v>
      </c>
      <c r="K624">
        <f>IFERROR(G624*B624*'Bulk Calculator'!J55/SQRT('Bulk Calculator'!S55)/1000,"")</f>
        <v>7.9939430195617485</v>
      </c>
      <c r="L624">
        <f>IF(OR('Bulk Calculator'!R55="",'Bulk Calculator'!S55="",G624=""),0,IF(K624&gt;='Bulk Calculator'!R55,1,0))</f>
        <v>1</v>
      </c>
      <c r="M624">
        <f>IF(AND(H624=1,I624&lt;='OS-DORAEN'!$B$6,J624&lt;='OS-DORAEN'!$B$5,L624=1),1,0)</f>
        <v>1</v>
      </c>
      <c r="N624" t="str">
        <f t="shared" si="9"/>
        <v>R/X</v>
      </c>
    </row>
    <row r="625" spans="1:14" ht="15" customHeight="1" x14ac:dyDescent="0.35">
      <c r="A625">
        <v>55</v>
      </c>
      <c r="B625">
        <v>16</v>
      </c>
      <c r="C625">
        <f>IFERROR(SUMIFS('Cable Data Master'!$G:$G,'Cable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Master'!$F:$F,B625),"")</f>
        <v>0</v>
      </c>
      <c r="D625">
        <f>IFERROR(SUMIFS('Cable Data Master'!$K:$K,'Cable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Master'!$F:$F,B625),"")</f>
        <v>0</v>
      </c>
      <c r="E625">
        <f>IFERROR(SUMIFS('Cable Data Master'!$H:$H,'Cable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Master'!$F:$F,B625),"")</f>
        <v>0</v>
      </c>
      <c r="F625">
        <f>IFERROR(SUMIFS('Cable Data Master'!$I:$I,'Cable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Master'!$F:$F,B625),"")</f>
        <v>0</v>
      </c>
      <c r="G625">
        <f>IFERROR(SUMIFS('Cable Data Master'!$J:$J,'Cable Data Master'!$A:$A,'Bulk Calculator'!$BF55,'Cable Data Master'!$B:$B,'Bulk Calculator'!$BG55,'Cable Data Master'!$C:$C,'Bulk Calculator'!$BH55,'Cable Data Master'!$D:$D,'Bulk Calculator'!$BI55,'Cable Data Master'!$E:$E,'Bulk Calculator'!$BJ55,'Cable Data Master'!$F:$F,B625),"")</f>
        <v>0</v>
      </c>
      <c r="H625">
        <f>IF(AND(ISNUMBER(C625),C625&gt;='Bulk Calculator'!U55/('Bulk Calculator'!J55*'Bulk Calculator'!L55)),1,0)</f>
        <v>1</v>
      </c>
      <c r="I625">
        <f>IFERROR(IF(AND(ISNUMBER(E625),ISNUMBER(F625),E625&gt;0,F625&gt;0),SQRT(3)*'Bulk Calculator'!O55*'Bulk Calculator'!AA55*((E625*'Bulk Calculator'!Q55)+(F625*SQRT(1-'Bulk Calculator'!Q55^2)))/'Bulk Calculator'!J55/'Bulk Calculator'!K55*100,D625*'Bulk Calculator'!AA55*'Bulk Calculator'!O55/'Bulk Calculator'!J55/'Bulk Calculator'!K55*100),"")</f>
        <v>0</v>
      </c>
      <c r="J625">
        <f>IFERROR(IF(AND(ISNUMBER(E625),ISNUMBER(F625),E625&gt;0,F625&gt;0),SQRT(3)*'Bulk Calculator'!O55*'Bulk Calculator'!U55*((E625*'Bulk Calculator'!M55)+(F625*SQRT(1-'Bulk Calculator'!M55^2)))/'Bulk Calculator'!J55/'Bulk Calculator'!K55*100,D625*'Bulk Calculator'!U55*'Bulk Calculator'!O55/'Bulk Calculator'!J55/'Bulk Calculator'!K55*100),"")</f>
        <v>0</v>
      </c>
      <c r="K625">
        <f>IFERROR(G625*B625*'Bulk Calculator'!J55/SQRT('Bulk Calculator'!S55)/1000,"")</f>
        <v>0</v>
      </c>
      <c r="L625">
        <f>IF(OR('Bulk Calculator'!R55="",'Bulk Calculator'!S55="",G625=""),0,IF(K625&gt;='Bulk Calculator'!R55,1,0))</f>
        <v>1</v>
      </c>
      <c r="M625">
        <f>IF(AND(H625=1,I625&lt;='OS-DORAEN'!$B$6,J625&lt;='OS-DORAEN'!$B$5,L625=1),1,0)</f>
        <v>1</v>
      </c>
      <c r="N625" t="str">
        <f t="shared" si="9"/>
        <v>Manufacturer VD Ref</v>
      </c>
    </row>
    <row r="626" spans="1:14" ht="15" customHeight="1" x14ac:dyDescent="0.35">
      <c r="A626">
        <v>56</v>
      </c>
      <c r="B626">
        <v>400</v>
      </c>
      <c r="C626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Master'!$F:$F,B626),"")</f>
        <v>530</v>
      </c>
      <c r="D626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Master'!$F:$F,B626),"")</f>
        <v>0.1023</v>
      </c>
      <c r="E626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Master'!$F:$F,B626),"")</f>
        <v>0.1023</v>
      </c>
      <c r="F626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Master'!$F:$F,B626),"")</f>
        <v>7.0000000000000007E-2</v>
      </c>
      <c r="G626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Master'!$F:$F,B626),"")</f>
        <v>143</v>
      </c>
      <c r="H626">
        <f>IF(AND(ISNUMBER(C626),C626&gt;='Bulk Calculator'!U56/('Bulk Calculator'!J56*'Bulk Calculator'!L56)),1,0)</f>
        <v>1</v>
      </c>
      <c r="I626">
        <f>IFERROR(IF(AND(ISNUMBER(E626),ISNUMBER(F626),E626&gt;0,F626&gt;0),SQRT(3)*'Bulk Calculator'!O56*'Bulk Calculator'!AA56*((E626*'Bulk Calculator'!Q56)+(F626*SQRT(1-'Bulk Calculator'!Q56^2)))/'Bulk Calculator'!J56/'Bulk Calculator'!K56*100,D626*'Bulk Calculator'!AA56*'Bulk Calculator'!O56/'Bulk Calculator'!J56/'Bulk Calculator'!K56*100),"")</f>
        <v>0</v>
      </c>
      <c r="J626">
        <f>IFERROR(IF(AND(ISNUMBER(E626),ISNUMBER(F626),E626&gt;0,F626&gt;0),SQRT(3)*'Bulk Calculator'!O56*'Bulk Calculator'!U56*((E626*'Bulk Calculator'!M56)+(F626*SQRT(1-'Bulk Calculator'!M56^2)))/'Bulk Calculator'!J56/'Bulk Calculator'!K56*100,D626*'Bulk Calculator'!U56*'Bulk Calculator'!O56/'Bulk Calculator'!J56/'Bulk Calculator'!K56*100),"")</f>
        <v>0</v>
      </c>
      <c r="K626">
        <f>IFERROR(G626*B626*'Bulk Calculator'!J56/SQRT('Bulk Calculator'!S56)/1000,"")</f>
        <v>127.90308831298798</v>
      </c>
      <c r="L626">
        <f>IF(OR('Bulk Calculator'!R56="",'Bulk Calculator'!S56="",G626=""),0,IF(K626&gt;='Bulk Calculator'!R56,1,0))</f>
        <v>1</v>
      </c>
      <c r="M626">
        <f>IF(AND(H626=1,I626&lt;='OS-DORAEN'!$B$6,J626&lt;='OS-DORAEN'!$B$5,L626=1),1,0)</f>
        <v>1</v>
      </c>
      <c r="N626" t="str">
        <f t="shared" si="9"/>
        <v>R/X</v>
      </c>
    </row>
    <row r="627" spans="1:14" ht="15" customHeight="1" x14ac:dyDescent="0.35">
      <c r="A627">
        <v>56</v>
      </c>
      <c r="B627">
        <v>300</v>
      </c>
      <c r="C627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Master'!$F:$F,B627),"")</f>
        <v>455</v>
      </c>
      <c r="D627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Master'!$F:$F,B627),"")</f>
        <v>0.13</v>
      </c>
      <c r="E627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Master'!$F:$F,B627),"")</f>
        <v>0.13</v>
      </c>
      <c r="F627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Master'!$F:$F,B627),"")</f>
        <v>7.0999999999999994E-2</v>
      </c>
      <c r="G627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Master'!$F:$F,B627),"")</f>
        <v>143</v>
      </c>
      <c r="H627">
        <f>IF(AND(ISNUMBER(C627),C627&gt;='Bulk Calculator'!U56/('Bulk Calculator'!J56*'Bulk Calculator'!L56)),1,0)</f>
        <v>1</v>
      </c>
      <c r="I627">
        <f>IFERROR(IF(AND(ISNUMBER(E627),ISNUMBER(F627),E627&gt;0,F627&gt;0),SQRT(3)*'Bulk Calculator'!O56*'Bulk Calculator'!AA56*((E627*'Bulk Calculator'!Q56)+(F627*SQRT(1-'Bulk Calculator'!Q56^2)))/'Bulk Calculator'!J56/'Bulk Calculator'!K56*100,D627*'Bulk Calculator'!AA56*'Bulk Calculator'!O56/'Bulk Calculator'!J56/'Bulk Calculator'!K56*100),"")</f>
        <v>0</v>
      </c>
      <c r="J627">
        <f>IFERROR(IF(AND(ISNUMBER(E627),ISNUMBER(F627),E627&gt;0,F627&gt;0),SQRT(3)*'Bulk Calculator'!O56*'Bulk Calculator'!U56*((E627*'Bulk Calculator'!M56)+(F627*SQRT(1-'Bulk Calculator'!M56^2)))/'Bulk Calculator'!J56/'Bulk Calculator'!K56*100,D627*'Bulk Calculator'!U56*'Bulk Calculator'!O56/'Bulk Calculator'!J56/'Bulk Calculator'!K56*100),"")</f>
        <v>0</v>
      </c>
      <c r="K627">
        <f>IFERROR(G627*B627*'Bulk Calculator'!J56/SQRT('Bulk Calculator'!S56)/1000,"")</f>
        <v>95.927316234740985</v>
      </c>
      <c r="L627">
        <f>IF(OR('Bulk Calculator'!R56="",'Bulk Calculator'!S56="",G627=""),0,IF(K627&gt;='Bulk Calculator'!R56,1,0))</f>
        <v>1</v>
      </c>
      <c r="M627">
        <f>IF(AND(H627=1,I627&lt;='OS-DORAEN'!$B$6,J627&lt;='OS-DORAEN'!$B$5,L627=1),1,0)</f>
        <v>1</v>
      </c>
      <c r="N627" t="str">
        <f t="shared" si="9"/>
        <v>R/X</v>
      </c>
    </row>
    <row r="628" spans="1:14" ht="15" customHeight="1" x14ac:dyDescent="0.35">
      <c r="A628">
        <v>56</v>
      </c>
      <c r="B628">
        <v>240</v>
      </c>
      <c r="C628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Master'!$F:$F,B628),"")</f>
        <v>399</v>
      </c>
      <c r="D628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Master'!$F:$F,B628),"")</f>
        <v>0.16200000000000001</v>
      </c>
      <c r="E628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Master'!$F:$F,B628),"")</f>
        <v>0.16200000000000001</v>
      </c>
      <c r="F628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Master'!$F:$F,B628),"")</f>
        <v>7.1999999999999995E-2</v>
      </c>
      <c r="G628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Master'!$F:$F,B628),"")</f>
        <v>143</v>
      </c>
      <c r="H628">
        <f>IF(AND(ISNUMBER(C628),C628&gt;='Bulk Calculator'!U56/('Bulk Calculator'!J56*'Bulk Calculator'!L56)),1,0)</f>
        <v>1</v>
      </c>
      <c r="I628">
        <f>IFERROR(IF(AND(ISNUMBER(E628),ISNUMBER(F628),E628&gt;0,F628&gt;0),SQRT(3)*'Bulk Calculator'!O56*'Bulk Calculator'!AA56*((E628*'Bulk Calculator'!Q56)+(F628*SQRT(1-'Bulk Calculator'!Q56^2)))/'Bulk Calculator'!J56/'Bulk Calculator'!K56*100,D628*'Bulk Calculator'!AA56*'Bulk Calculator'!O56/'Bulk Calculator'!J56/'Bulk Calculator'!K56*100),"")</f>
        <v>0</v>
      </c>
      <c r="J628">
        <f>IFERROR(IF(AND(ISNUMBER(E628),ISNUMBER(F628),E628&gt;0,F628&gt;0),SQRT(3)*'Bulk Calculator'!O56*'Bulk Calculator'!U56*((E628*'Bulk Calculator'!M56)+(F628*SQRT(1-'Bulk Calculator'!M56^2)))/'Bulk Calculator'!J56/'Bulk Calculator'!K56*100,D628*'Bulk Calculator'!U56*'Bulk Calculator'!O56/'Bulk Calculator'!J56/'Bulk Calculator'!K56*100),"")</f>
        <v>0</v>
      </c>
      <c r="K628">
        <f>IFERROR(G628*B628*'Bulk Calculator'!J56/SQRT('Bulk Calculator'!S56)/1000,"")</f>
        <v>76.741852987792782</v>
      </c>
      <c r="L628">
        <f>IF(OR('Bulk Calculator'!R56="",'Bulk Calculator'!S56="",G628=""),0,IF(K628&gt;='Bulk Calculator'!R56,1,0))</f>
        <v>1</v>
      </c>
      <c r="M628">
        <f>IF(AND(H628=1,I628&lt;='OS-DORAEN'!$B$6,J628&lt;='OS-DORAEN'!$B$5,L628=1),1,0)</f>
        <v>1</v>
      </c>
      <c r="N628" t="str">
        <f t="shared" si="9"/>
        <v>R/X</v>
      </c>
    </row>
    <row r="629" spans="1:14" ht="15" customHeight="1" x14ac:dyDescent="0.35">
      <c r="A629">
        <v>56</v>
      </c>
      <c r="B629">
        <v>185</v>
      </c>
      <c r="C629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Master'!$F:$F,B629),"")</f>
        <v>337</v>
      </c>
      <c r="D629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Master'!$F:$F,B629),"")</f>
        <v>0.21099999999999999</v>
      </c>
      <c r="E629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Master'!$F:$F,B629),"")</f>
        <v>0.21099999999999999</v>
      </c>
      <c r="F629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Master'!$F:$F,B629),"")</f>
        <v>7.1999999999999995E-2</v>
      </c>
      <c r="G629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Master'!$F:$F,B629),"")</f>
        <v>143</v>
      </c>
      <c r="H629">
        <f>IF(AND(ISNUMBER(C629),C629&gt;='Bulk Calculator'!U56/('Bulk Calculator'!J56*'Bulk Calculator'!L56)),1,0)</f>
        <v>1</v>
      </c>
      <c r="I629">
        <f>IFERROR(IF(AND(ISNUMBER(E629),ISNUMBER(F629),E629&gt;0,F629&gt;0),SQRT(3)*'Bulk Calculator'!O56*'Bulk Calculator'!AA56*((E629*'Bulk Calculator'!Q56)+(F629*SQRT(1-'Bulk Calculator'!Q56^2)))/'Bulk Calculator'!J56/'Bulk Calculator'!K56*100,D629*'Bulk Calculator'!AA56*'Bulk Calculator'!O56/'Bulk Calculator'!J56/'Bulk Calculator'!K56*100),"")</f>
        <v>0</v>
      </c>
      <c r="J629">
        <f>IFERROR(IF(AND(ISNUMBER(E629),ISNUMBER(F629),E629&gt;0,F629&gt;0),SQRT(3)*'Bulk Calculator'!O56*'Bulk Calculator'!U56*((E629*'Bulk Calculator'!M56)+(F629*SQRT(1-'Bulk Calculator'!M56^2)))/'Bulk Calculator'!J56/'Bulk Calculator'!K56*100,D629*'Bulk Calculator'!U56*'Bulk Calculator'!O56/'Bulk Calculator'!J56/'Bulk Calculator'!K56*100),"")</f>
        <v>0</v>
      </c>
      <c r="K629">
        <f>IFERROR(G629*B629*'Bulk Calculator'!J56/SQRT('Bulk Calculator'!S56)/1000,"")</f>
        <v>59.155178344756941</v>
      </c>
      <c r="L629">
        <f>IF(OR('Bulk Calculator'!R56="",'Bulk Calculator'!S56="",G629=""),0,IF(K629&gt;='Bulk Calculator'!R56,1,0))</f>
        <v>1</v>
      </c>
      <c r="M629">
        <f>IF(AND(H629=1,I629&lt;='OS-DORAEN'!$B$6,J629&lt;='OS-DORAEN'!$B$5,L629=1),1,0)</f>
        <v>1</v>
      </c>
      <c r="N629" t="str">
        <f t="shared" si="9"/>
        <v>R/X</v>
      </c>
    </row>
    <row r="630" spans="1:14" ht="15" customHeight="1" x14ac:dyDescent="0.35">
      <c r="A630">
        <v>56</v>
      </c>
      <c r="B630">
        <v>150</v>
      </c>
      <c r="C630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Master'!$F:$F,B630),"")</f>
        <v>292</v>
      </c>
      <c r="D630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Master'!$F:$F,B630),"")</f>
        <v>0.26500000000000001</v>
      </c>
      <c r="E630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Master'!$F:$F,B630),"")</f>
        <v>0.26500000000000001</v>
      </c>
      <c r="F630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Master'!$F:$F,B630),"")</f>
        <v>7.1999999999999995E-2</v>
      </c>
      <c r="G630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Master'!$F:$F,B630),"")</f>
        <v>143</v>
      </c>
      <c r="H630">
        <f>IF(AND(ISNUMBER(C630),C630&gt;='Bulk Calculator'!U56/('Bulk Calculator'!J56*'Bulk Calculator'!L56)),1,0)</f>
        <v>1</v>
      </c>
      <c r="I630">
        <f>IFERROR(IF(AND(ISNUMBER(E630),ISNUMBER(F630),E630&gt;0,F630&gt;0),SQRT(3)*'Bulk Calculator'!O56*'Bulk Calculator'!AA56*((E630*'Bulk Calculator'!Q56)+(F630*SQRT(1-'Bulk Calculator'!Q56^2)))/'Bulk Calculator'!J56/'Bulk Calculator'!K56*100,D630*'Bulk Calculator'!AA56*'Bulk Calculator'!O56/'Bulk Calculator'!J56/'Bulk Calculator'!K56*100),"")</f>
        <v>0</v>
      </c>
      <c r="J630">
        <f>IFERROR(IF(AND(ISNUMBER(E630),ISNUMBER(F630),E630&gt;0,F630&gt;0),SQRT(3)*'Bulk Calculator'!O56*'Bulk Calculator'!U56*((E630*'Bulk Calculator'!M56)+(F630*SQRT(1-'Bulk Calculator'!M56^2)))/'Bulk Calculator'!J56/'Bulk Calculator'!K56*100,D630*'Bulk Calculator'!U56*'Bulk Calculator'!O56/'Bulk Calculator'!J56/'Bulk Calculator'!K56*100),"")</f>
        <v>0</v>
      </c>
      <c r="K630">
        <f>IFERROR(G630*B630*'Bulk Calculator'!J56/SQRT('Bulk Calculator'!S56)/1000,"")</f>
        <v>47.963658117370493</v>
      </c>
      <c r="L630">
        <f>IF(OR('Bulk Calculator'!R56="",'Bulk Calculator'!S56="",G630=""),0,IF(K630&gt;='Bulk Calculator'!R56,1,0))</f>
        <v>1</v>
      </c>
      <c r="M630">
        <f>IF(AND(H630=1,I630&lt;='OS-DORAEN'!$B$6,J630&lt;='OS-DORAEN'!$B$5,L630=1),1,0)</f>
        <v>1</v>
      </c>
      <c r="N630" t="str">
        <f t="shared" si="9"/>
        <v>R/X</v>
      </c>
    </row>
    <row r="631" spans="1:14" ht="15" customHeight="1" x14ac:dyDescent="0.35">
      <c r="A631">
        <v>56</v>
      </c>
      <c r="B631">
        <v>120</v>
      </c>
      <c r="C631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Master'!$F:$F,B631),"")</f>
        <v>257</v>
      </c>
      <c r="D631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Master'!$F:$F,B631),"")</f>
        <v>0.32500000000000001</v>
      </c>
      <c r="E631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Master'!$F:$F,B631),"")</f>
        <v>0.32500000000000001</v>
      </c>
      <c r="F631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Master'!$F:$F,B631),"")</f>
        <v>7.1999999999999995E-2</v>
      </c>
      <c r="G631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Master'!$F:$F,B631),"")</f>
        <v>143</v>
      </c>
      <c r="H631">
        <f>IF(AND(ISNUMBER(C631),C631&gt;='Bulk Calculator'!U56/('Bulk Calculator'!J56*'Bulk Calculator'!L56)),1,0)</f>
        <v>1</v>
      </c>
      <c r="I631">
        <f>IFERROR(IF(AND(ISNUMBER(E631),ISNUMBER(F631),E631&gt;0,F631&gt;0),SQRT(3)*'Bulk Calculator'!O56*'Bulk Calculator'!AA56*((E631*'Bulk Calculator'!Q56)+(F631*SQRT(1-'Bulk Calculator'!Q56^2)))/'Bulk Calculator'!J56/'Bulk Calculator'!K56*100,D631*'Bulk Calculator'!AA56*'Bulk Calculator'!O56/'Bulk Calculator'!J56/'Bulk Calculator'!K56*100),"")</f>
        <v>0</v>
      </c>
      <c r="J631">
        <f>IFERROR(IF(AND(ISNUMBER(E631),ISNUMBER(F631),E631&gt;0,F631&gt;0),SQRT(3)*'Bulk Calculator'!O56*'Bulk Calculator'!U56*((E631*'Bulk Calculator'!M56)+(F631*SQRT(1-'Bulk Calculator'!M56^2)))/'Bulk Calculator'!J56/'Bulk Calculator'!K56*100,D631*'Bulk Calculator'!U56*'Bulk Calculator'!O56/'Bulk Calculator'!J56/'Bulk Calculator'!K56*100),"")</f>
        <v>0</v>
      </c>
      <c r="K631">
        <f>IFERROR(G631*B631*'Bulk Calculator'!J56/SQRT('Bulk Calculator'!S56)/1000,"")</f>
        <v>38.370926493896391</v>
      </c>
      <c r="L631">
        <f>IF(OR('Bulk Calculator'!R56="",'Bulk Calculator'!S56="",G631=""),0,IF(K631&gt;='Bulk Calculator'!R56,1,0))</f>
        <v>1</v>
      </c>
      <c r="M631">
        <f>IF(AND(H631=1,I631&lt;='OS-DORAEN'!$B$6,J631&lt;='OS-DORAEN'!$B$5,L631=1),1,0)</f>
        <v>1</v>
      </c>
      <c r="N631" t="str">
        <f t="shared" si="9"/>
        <v>R/X</v>
      </c>
    </row>
    <row r="632" spans="1:14" ht="15" customHeight="1" x14ac:dyDescent="0.35">
      <c r="A632">
        <v>56</v>
      </c>
      <c r="B632">
        <v>95</v>
      </c>
      <c r="C632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Master'!$F:$F,B632),"")</f>
        <v>221</v>
      </c>
      <c r="D632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Master'!$F:$F,B632),"")</f>
        <v>0.41</v>
      </c>
      <c r="E632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Master'!$F:$F,B632),"")</f>
        <v>0.41</v>
      </c>
      <c r="F632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Master'!$F:$F,B632),"")</f>
        <v>7.3999999999999996E-2</v>
      </c>
      <c r="G632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Master'!$F:$F,B632),"")</f>
        <v>143</v>
      </c>
      <c r="H632">
        <f>IF(AND(ISNUMBER(C632),C632&gt;='Bulk Calculator'!U56/('Bulk Calculator'!J56*'Bulk Calculator'!L56)),1,0)</f>
        <v>1</v>
      </c>
      <c r="I632">
        <f>IFERROR(IF(AND(ISNUMBER(E632),ISNUMBER(F632),E632&gt;0,F632&gt;0),SQRT(3)*'Bulk Calculator'!O56*'Bulk Calculator'!AA56*((E632*'Bulk Calculator'!Q56)+(F632*SQRT(1-'Bulk Calculator'!Q56^2)))/'Bulk Calculator'!J56/'Bulk Calculator'!K56*100,D632*'Bulk Calculator'!AA56*'Bulk Calculator'!O56/'Bulk Calculator'!J56/'Bulk Calculator'!K56*100),"")</f>
        <v>0</v>
      </c>
      <c r="J632">
        <f>IFERROR(IF(AND(ISNUMBER(E632),ISNUMBER(F632),E632&gt;0,F632&gt;0),SQRT(3)*'Bulk Calculator'!O56*'Bulk Calculator'!U56*((E632*'Bulk Calculator'!M56)+(F632*SQRT(1-'Bulk Calculator'!M56^2)))/'Bulk Calculator'!J56/'Bulk Calculator'!K56*100,D632*'Bulk Calculator'!U56*'Bulk Calculator'!O56/'Bulk Calculator'!J56/'Bulk Calculator'!K56*100),"")</f>
        <v>0</v>
      </c>
      <c r="K632">
        <f>IFERROR(G632*B632*'Bulk Calculator'!J56/SQRT('Bulk Calculator'!S56)/1000,"")</f>
        <v>30.376983474334644</v>
      </c>
      <c r="L632">
        <f>IF(OR('Bulk Calculator'!R56="",'Bulk Calculator'!S56="",G632=""),0,IF(K632&gt;='Bulk Calculator'!R56,1,0))</f>
        <v>1</v>
      </c>
      <c r="M632">
        <f>IF(AND(H632=1,I632&lt;='OS-DORAEN'!$B$6,J632&lt;='OS-DORAEN'!$B$5,L632=1),1,0)</f>
        <v>1</v>
      </c>
      <c r="N632" t="str">
        <f t="shared" si="9"/>
        <v>R/X</v>
      </c>
    </row>
    <row r="633" spans="1:14" ht="15" customHeight="1" x14ac:dyDescent="0.35">
      <c r="A633">
        <v>56</v>
      </c>
      <c r="B633">
        <v>70</v>
      </c>
      <c r="C633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Master'!$F:$F,B633),"")</f>
        <v>179</v>
      </c>
      <c r="D633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Master'!$F:$F,B633),"")</f>
        <v>0.56699999999999995</v>
      </c>
      <c r="E633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Master'!$F:$F,B633),"")</f>
        <v>0.56699999999999995</v>
      </c>
      <c r="F633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Master'!$F:$F,B633),"")</f>
        <v>7.6999999999999999E-2</v>
      </c>
      <c r="G633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Master'!$F:$F,B633),"")</f>
        <v>143</v>
      </c>
      <c r="H633">
        <f>IF(AND(ISNUMBER(C633),C633&gt;='Bulk Calculator'!U56/('Bulk Calculator'!J56*'Bulk Calculator'!L56)),1,0)</f>
        <v>1</v>
      </c>
      <c r="I633">
        <f>IFERROR(IF(AND(ISNUMBER(E633),ISNUMBER(F633),E633&gt;0,F633&gt;0),SQRT(3)*'Bulk Calculator'!O56*'Bulk Calculator'!AA56*((E633*'Bulk Calculator'!Q56)+(F633*SQRT(1-'Bulk Calculator'!Q56^2)))/'Bulk Calculator'!J56/'Bulk Calculator'!K56*100,D633*'Bulk Calculator'!AA56*'Bulk Calculator'!O56/'Bulk Calculator'!J56/'Bulk Calculator'!K56*100),"")</f>
        <v>0</v>
      </c>
      <c r="J633">
        <f>IFERROR(IF(AND(ISNUMBER(E633),ISNUMBER(F633),E633&gt;0,F633&gt;0),SQRT(3)*'Bulk Calculator'!O56*'Bulk Calculator'!U56*((E633*'Bulk Calculator'!M56)+(F633*SQRT(1-'Bulk Calculator'!M56^2)))/'Bulk Calculator'!J56/'Bulk Calculator'!K56*100,D633*'Bulk Calculator'!U56*'Bulk Calculator'!O56/'Bulk Calculator'!J56/'Bulk Calculator'!K56*100),"")</f>
        <v>0</v>
      </c>
      <c r="K633">
        <f>IFERROR(G633*B633*'Bulk Calculator'!J56/SQRT('Bulk Calculator'!S56)/1000,"")</f>
        <v>22.383040454772893</v>
      </c>
      <c r="L633">
        <f>IF(OR('Bulk Calculator'!R56="",'Bulk Calculator'!S56="",G633=""),0,IF(K633&gt;='Bulk Calculator'!R56,1,0))</f>
        <v>1</v>
      </c>
      <c r="M633">
        <f>IF(AND(H633=1,I633&lt;='OS-DORAEN'!$B$6,J633&lt;='OS-DORAEN'!$B$5,L633=1),1,0)</f>
        <v>1</v>
      </c>
      <c r="N633" t="str">
        <f t="shared" si="9"/>
        <v>R/X</v>
      </c>
    </row>
    <row r="634" spans="1:14" ht="15" customHeight="1" x14ac:dyDescent="0.35">
      <c r="A634">
        <v>56</v>
      </c>
      <c r="B634">
        <v>50</v>
      </c>
      <c r="C634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Master'!$F:$F,B634),"")</f>
        <v>142</v>
      </c>
      <c r="D634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Master'!$F:$F,B634),"")</f>
        <v>0.82</v>
      </c>
      <c r="E634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Master'!$F:$F,B634),"")</f>
        <v>0.82</v>
      </c>
      <c r="F634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Master'!$F:$F,B634),"")</f>
        <v>7.8E-2</v>
      </c>
      <c r="G634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Master'!$F:$F,B634),"")</f>
        <v>143</v>
      </c>
      <c r="H634">
        <f>IF(AND(ISNUMBER(C634),C634&gt;='Bulk Calculator'!U56/('Bulk Calculator'!J56*'Bulk Calculator'!L56)),1,0)</f>
        <v>1</v>
      </c>
      <c r="I634">
        <f>IFERROR(IF(AND(ISNUMBER(E634),ISNUMBER(F634),E634&gt;0,F634&gt;0),SQRT(3)*'Bulk Calculator'!O56*'Bulk Calculator'!AA56*((E634*'Bulk Calculator'!Q56)+(F634*SQRT(1-'Bulk Calculator'!Q56^2)))/'Bulk Calculator'!J56/'Bulk Calculator'!K56*100,D634*'Bulk Calculator'!AA56*'Bulk Calculator'!O56/'Bulk Calculator'!J56/'Bulk Calculator'!K56*100),"")</f>
        <v>0</v>
      </c>
      <c r="J634">
        <f>IFERROR(IF(AND(ISNUMBER(E634),ISNUMBER(F634),E634&gt;0,F634&gt;0),SQRT(3)*'Bulk Calculator'!O56*'Bulk Calculator'!U56*((E634*'Bulk Calculator'!M56)+(F634*SQRT(1-'Bulk Calculator'!M56^2)))/'Bulk Calculator'!J56/'Bulk Calculator'!K56*100,D634*'Bulk Calculator'!U56*'Bulk Calculator'!O56/'Bulk Calculator'!J56/'Bulk Calculator'!K56*100),"")</f>
        <v>0</v>
      </c>
      <c r="K634">
        <f>IFERROR(G634*B634*'Bulk Calculator'!J56/SQRT('Bulk Calculator'!S56)/1000,"")</f>
        <v>15.987886039123497</v>
      </c>
      <c r="L634">
        <f>IF(OR('Bulk Calculator'!R56="",'Bulk Calculator'!S56="",G634=""),0,IF(K634&gt;='Bulk Calculator'!R56,1,0))</f>
        <v>1</v>
      </c>
      <c r="M634">
        <f>IF(AND(H634=1,I634&lt;='OS-DORAEN'!$B$6,J634&lt;='OS-DORAEN'!$B$5,L634=1),1,0)</f>
        <v>1</v>
      </c>
      <c r="N634" t="str">
        <f t="shared" si="9"/>
        <v>R/X</v>
      </c>
    </row>
    <row r="635" spans="1:14" ht="15" customHeight="1" x14ac:dyDescent="0.35">
      <c r="A635">
        <v>56</v>
      </c>
      <c r="B635">
        <v>35</v>
      </c>
      <c r="C635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Master'!$F:$F,B635),"")</f>
        <v>117</v>
      </c>
      <c r="D635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Master'!$F:$F,B635),"")</f>
        <v>1.1100000000000001</v>
      </c>
      <c r="E635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Master'!$F:$F,B635),"")</f>
        <v>1.1100000000000001</v>
      </c>
      <c r="F635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Master'!$F:$F,B635),"")</f>
        <v>0.08</v>
      </c>
      <c r="G635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Master'!$F:$F,B635),"")</f>
        <v>143</v>
      </c>
      <c r="H635">
        <f>IF(AND(ISNUMBER(C635),C635&gt;='Bulk Calculator'!U56/('Bulk Calculator'!J56*'Bulk Calculator'!L56)),1,0)</f>
        <v>1</v>
      </c>
      <c r="I635">
        <f>IFERROR(IF(AND(ISNUMBER(E635),ISNUMBER(F635),E635&gt;0,F635&gt;0),SQRT(3)*'Bulk Calculator'!O56*'Bulk Calculator'!AA56*((E635*'Bulk Calculator'!Q56)+(F635*SQRT(1-'Bulk Calculator'!Q56^2)))/'Bulk Calculator'!J56/'Bulk Calculator'!K56*100,D635*'Bulk Calculator'!AA56*'Bulk Calculator'!O56/'Bulk Calculator'!J56/'Bulk Calculator'!K56*100),"")</f>
        <v>0</v>
      </c>
      <c r="J635">
        <f>IFERROR(IF(AND(ISNUMBER(E635),ISNUMBER(F635),E635&gt;0,F635&gt;0),SQRT(3)*'Bulk Calculator'!O56*'Bulk Calculator'!U56*((E635*'Bulk Calculator'!M56)+(F635*SQRT(1-'Bulk Calculator'!M56^2)))/'Bulk Calculator'!J56/'Bulk Calculator'!K56*100,D635*'Bulk Calculator'!U56*'Bulk Calculator'!O56/'Bulk Calculator'!J56/'Bulk Calculator'!K56*100),"")</f>
        <v>0</v>
      </c>
      <c r="K635">
        <f>IFERROR(G635*B635*'Bulk Calculator'!J56/SQRT('Bulk Calculator'!S56)/1000,"")</f>
        <v>11.191520227386446</v>
      </c>
      <c r="L635">
        <f>IF(OR('Bulk Calculator'!R56="",'Bulk Calculator'!S56="",G635=""),0,IF(K635&gt;='Bulk Calculator'!R56,1,0))</f>
        <v>1</v>
      </c>
      <c r="M635">
        <f>IF(AND(H635=1,I635&lt;='OS-DORAEN'!$B$6,J635&lt;='OS-DORAEN'!$B$5,L635=1),1,0)</f>
        <v>1</v>
      </c>
      <c r="N635" t="str">
        <f t="shared" si="9"/>
        <v>R/X</v>
      </c>
    </row>
    <row r="636" spans="1:14" ht="15" customHeight="1" x14ac:dyDescent="0.35">
      <c r="A636">
        <v>56</v>
      </c>
      <c r="B636">
        <v>25</v>
      </c>
      <c r="C636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Master'!$F:$F,B636),"")</f>
        <v>96</v>
      </c>
      <c r="D636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Master'!$F:$F,B636),"")</f>
        <v>1.54</v>
      </c>
      <c r="E636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Master'!$F:$F,B636),"")</f>
        <v>1.54</v>
      </c>
      <c r="F636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Master'!$F:$F,B636),"")</f>
        <v>0.08</v>
      </c>
      <c r="G636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Master'!$F:$F,B636),"")</f>
        <v>143</v>
      </c>
      <c r="H636">
        <f>IF(AND(ISNUMBER(C636),C636&gt;='Bulk Calculator'!U56/('Bulk Calculator'!J56*'Bulk Calculator'!L56)),1,0)</f>
        <v>1</v>
      </c>
      <c r="I636">
        <f>IFERROR(IF(AND(ISNUMBER(E636),ISNUMBER(F636),E636&gt;0,F636&gt;0),SQRT(3)*'Bulk Calculator'!O56*'Bulk Calculator'!AA56*((E636*'Bulk Calculator'!Q56)+(F636*SQRT(1-'Bulk Calculator'!Q56^2)))/'Bulk Calculator'!J56/'Bulk Calculator'!K56*100,D636*'Bulk Calculator'!AA56*'Bulk Calculator'!O56/'Bulk Calculator'!J56/'Bulk Calculator'!K56*100),"")</f>
        <v>0</v>
      </c>
      <c r="J636">
        <f>IFERROR(IF(AND(ISNUMBER(E636),ISNUMBER(F636),E636&gt;0,F636&gt;0),SQRT(3)*'Bulk Calculator'!O56*'Bulk Calculator'!U56*((E636*'Bulk Calculator'!M56)+(F636*SQRT(1-'Bulk Calculator'!M56^2)))/'Bulk Calculator'!J56/'Bulk Calculator'!K56*100,D636*'Bulk Calculator'!U56*'Bulk Calculator'!O56/'Bulk Calculator'!J56/'Bulk Calculator'!K56*100),"")</f>
        <v>0</v>
      </c>
      <c r="K636">
        <f>IFERROR(G636*B636*'Bulk Calculator'!J56/SQRT('Bulk Calculator'!S56)/1000,"")</f>
        <v>7.9939430195617485</v>
      </c>
      <c r="L636">
        <f>IF(OR('Bulk Calculator'!R56="",'Bulk Calculator'!S56="",G636=""),0,IF(K636&gt;='Bulk Calculator'!R56,1,0))</f>
        <v>1</v>
      </c>
      <c r="M636">
        <f>IF(AND(H636=1,I636&lt;='OS-DORAEN'!$B$6,J636&lt;='OS-DORAEN'!$B$5,L636=1),1,0)</f>
        <v>1</v>
      </c>
      <c r="N636" t="str">
        <f t="shared" si="9"/>
        <v>R/X</v>
      </c>
    </row>
    <row r="637" spans="1:14" ht="15" customHeight="1" x14ac:dyDescent="0.35">
      <c r="A637">
        <v>56</v>
      </c>
      <c r="B637">
        <v>16</v>
      </c>
      <c r="C637">
        <f>IFERROR(SUMIFS('Cable Data Master'!$G:$G,'Cable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Master'!$F:$F,B637),"")</f>
        <v>0</v>
      </c>
      <c r="D637">
        <f>IFERROR(SUMIFS('Cable Data Master'!$K:$K,'Cable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Master'!$F:$F,B637),"")</f>
        <v>0</v>
      </c>
      <c r="E637">
        <f>IFERROR(SUMIFS('Cable Data Master'!$H:$H,'Cable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Master'!$F:$F,B637),"")</f>
        <v>0</v>
      </c>
      <c r="F637">
        <f>IFERROR(SUMIFS('Cable Data Master'!$I:$I,'Cable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Master'!$F:$F,B637),"")</f>
        <v>0</v>
      </c>
      <c r="G637">
        <f>IFERROR(SUMIFS('Cable Data Master'!$J:$J,'Cable Data Master'!$A:$A,'Bulk Calculator'!$BF56,'Cable Data Master'!$B:$B,'Bulk Calculator'!$BG56,'Cable Data Master'!$C:$C,'Bulk Calculator'!$BH56,'Cable Data Master'!$D:$D,'Bulk Calculator'!$BI56,'Cable Data Master'!$E:$E,'Bulk Calculator'!$BJ56,'Cable Data Master'!$F:$F,B637),"")</f>
        <v>0</v>
      </c>
      <c r="H637">
        <f>IF(AND(ISNUMBER(C637),C637&gt;='Bulk Calculator'!U56/('Bulk Calculator'!J56*'Bulk Calculator'!L56)),1,0)</f>
        <v>1</v>
      </c>
      <c r="I637">
        <f>IFERROR(IF(AND(ISNUMBER(E637),ISNUMBER(F637),E637&gt;0,F637&gt;0),SQRT(3)*'Bulk Calculator'!O56*'Bulk Calculator'!AA56*((E637*'Bulk Calculator'!Q56)+(F637*SQRT(1-'Bulk Calculator'!Q56^2)))/'Bulk Calculator'!J56/'Bulk Calculator'!K56*100,D637*'Bulk Calculator'!AA56*'Bulk Calculator'!O56/'Bulk Calculator'!J56/'Bulk Calculator'!K56*100),"")</f>
        <v>0</v>
      </c>
      <c r="J637">
        <f>IFERROR(IF(AND(ISNUMBER(E637),ISNUMBER(F637),E637&gt;0,F637&gt;0),SQRT(3)*'Bulk Calculator'!O56*'Bulk Calculator'!U56*((E637*'Bulk Calculator'!M56)+(F637*SQRT(1-'Bulk Calculator'!M56^2)))/'Bulk Calculator'!J56/'Bulk Calculator'!K56*100,D637*'Bulk Calculator'!U56*'Bulk Calculator'!O56/'Bulk Calculator'!J56/'Bulk Calculator'!K56*100),"")</f>
        <v>0</v>
      </c>
      <c r="K637">
        <f>IFERROR(G637*B637*'Bulk Calculator'!J56/SQRT('Bulk Calculator'!S56)/1000,"")</f>
        <v>0</v>
      </c>
      <c r="L637">
        <f>IF(OR('Bulk Calculator'!R56="",'Bulk Calculator'!S56="",G637=""),0,IF(K637&gt;='Bulk Calculator'!R56,1,0))</f>
        <v>1</v>
      </c>
      <c r="M637">
        <f>IF(AND(H637=1,I637&lt;='OS-DORAEN'!$B$6,J637&lt;='OS-DORAEN'!$B$5,L637=1),1,0)</f>
        <v>1</v>
      </c>
      <c r="N637" t="str">
        <f t="shared" si="9"/>
        <v>Manufacturer VD Ref</v>
      </c>
    </row>
    <row r="638" spans="1:14" ht="15" customHeight="1" x14ac:dyDescent="0.35">
      <c r="A638">
        <v>57</v>
      </c>
      <c r="B638">
        <v>400</v>
      </c>
      <c r="C638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Master'!$F:$F,B638),"")</f>
        <v>530</v>
      </c>
      <c r="D638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Master'!$F:$F,B638),"")</f>
        <v>0.1023</v>
      </c>
      <c r="E638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Master'!$F:$F,B638),"")</f>
        <v>0.1023</v>
      </c>
      <c r="F638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Master'!$F:$F,B638),"")</f>
        <v>7.0000000000000007E-2</v>
      </c>
      <c r="G638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Master'!$F:$F,B638),"")</f>
        <v>143</v>
      </c>
      <c r="H638">
        <f>IF(AND(ISNUMBER(C638),C638&gt;='Bulk Calculator'!U57/('Bulk Calculator'!J57*'Bulk Calculator'!L57)),1,0)</f>
        <v>1</v>
      </c>
      <c r="I638">
        <f>IFERROR(IF(AND(ISNUMBER(E638),ISNUMBER(F638),E638&gt;0,F638&gt;0),SQRT(3)*'Bulk Calculator'!O57*'Bulk Calculator'!AA57*((E638*'Bulk Calculator'!Q57)+(F638*SQRT(1-'Bulk Calculator'!Q57^2)))/'Bulk Calculator'!J57/'Bulk Calculator'!K57*100,D638*'Bulk Calculator'!AA57*'Bulk Calculator'!O57/'Bulk Calculator'!J57/'Bulk Calculator'!K57*100),"")</f>
        <v>0</v>
      </c>
      <c r="J638">
        <f>IFERROR(IF(AND(ISNUMBER(E638),ISNUMBER(F638),E638&gt;0,F638&gt;0),SQRT(3)*'Bulk Calculator'!O57*'Bulk Calculator'!U57*((E638*'Bulk Calculator'!M57)+(F638*SQRT(1-'Bulk Calculator'!M57^2)))/'Bulk Calculator'!J57/'Bulk Calculator'!K57*100,D638*'Bulk Calculator'!U57*'Bulk Calculator'!O57/'Bulk Calculator'!J57/'Bulk Calculator'!K57*100),"")</f>
        <v>0</v>
      </c>
      <c r="K638">
        <f>IFERROR(G638*B638*'Bulk Calculator'!J57/SQRT('Bulk Calculator'!S57)/1000,"")</f>
        <v>127.90308831298798</v>
      </c>
      <c r="L638">
        <f>IF(OR('Bulk Calculator'!R57="",'Bulk Calculator'!S57="",G638=""),0,IF(K638&gt;='Bulk Calculator'!R57,1,0))</f>
        <v>1</v>
      </c>
      <c r="M638">
        <f>IF(AND(H638=1,I638&lt;='OS-DORAEN'!$B$6,J638&lt;='OS-DORAEN'!$B$5,L638=1),1,0)</f>
        <v>1</v>
      </c>
      <c r="N638" t="str">
        <f t="shared" si="9"/>
        <v>R/X</v>
      </c>
    </row>
    <row r="639" spans="1:14" ht="15" customHeight="1" x14ac:dyDescent="0.35">
      <c r="A639">
        <v>57</v>
      </c>
      <c r="B639">
        <v>300</v>
      </c>
      <c r="C639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Master'!$F:$F,B639),"")</f>
        <v>455</v>
      </c>
      <c r="D639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Master'!$F:$F,B639),"")</f>
        <v>0.13</v>
      </c>
      <c r="E639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Master'!$F:$F,B639),"")</f>
        <v>0.13</v>
      </c>
      <c r="F639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Master'!$F:$F,B639),"")</f>
        <v>7.0999999999999994E-2</v>
      </c>
      <c r="G639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Master'!$F:$F,B639),"")</f>
        <v>143</v>
      </c>
      <c r="H639">
        <f>IF(AND(ISNUMBER(C639),C639&gt;='Bulk Calculator'!U57/('Bulk Calculator'!J57*'Bulk Calculator'!L57)),1,0)</f>
        <v>1</v>
      </c>
      <c r="I639">
        <f>IFERROR(IF(AND(ISNUMBER(E639),ISNUMBER(F639),E639&gt;0,F639&gt;0),SQRT(3)*'Bulk Calculator'!O57*'Bulk Calculator'!AA57*((E639*'Bulk Calculator'!Q57)+(F639*SQRT(1-'Bulk Calculator'!Q57^2)))/'Bulk Calculator'!J57/'Bulk Calculator'!K57*100,D639*'Bulk Calculator'!AA57*'Bulk Calculator'!O57/'Bulk Calculator'!J57/'Bulk Calculator'!K57*100),"")</f>
        <v>0</v>
      </c>
      <c r="J639">
        <f>IFERROR(IF(AND(ISNUMBER(E639),ISNUMBER(F639),E639&gt;0,F639&gt;0),SQRT(3)*'Bulk Calculator'!O57*'Bulk Calculator'!U57*((E639*'Bulk Calculator'!M57)+(F639*SQRT(1-'Bulk Calculator'!M57^2)))/'Bulk Calculator'!J57/'Bulk Calculator'!K57*100,D639*'Bulk Calculator'!U57*'Bulk Calculator'!O57/'Bulk Calculator'!J57/'Bulk Calculator'!K57*100),"")</f>
        <v>0</v>
      </c>
      <c r="K639">
        <f>IFERROR(G639*B639*'Bulk Calculator'!J57/SQRT('Bulk Calculator'!S57)/1000,"")</f>
        <v>95.927316234740985</v>
      </c>
      <c r="L639">
        <f>IF(OR('Bulk Calculator'!R57="",'Bulk Calculator'!S57="",G639=""),0,IF(K639&gt;='Bulk Calculator'!R57,1,0))</f>
        <v>1</v>
      </c>
      <c r="M639">
        <f>IF(AND(H639=1,I639&lt;='OS-DORAEN'!$B$6,J639&lt;='OS-DORAEN'!$B$5,L639=1),1,0)</f>
        <v>1</v>
      </c>
      <c r="N639" t="str">
        <f t="shared" si="9"/>
        <v>R/X</v>
      </c>
    </row>
    <row r="640" spans="1:14" ht="15" customHeight="1" x14ac:dyDescent="0.35">
      <c r="A640">
        <v>57</v>
      </c>
      <c r="B640">
        <v>240</v>
      </c>
      <c r="C640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Master'!$F:$F,B640),"")</f>
        <v>399</v>
      </c>
      <c r="D640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Master'!$F:$F,B640),"")</f>
        <v>0.16200000000000001</v>
      </c>
      <c r="E640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Master'!$F:$F,B640),"")</f>
        <v>0.16200000000000001</v>
      </c>
      <c r="F640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Master'!$F:$F,B640),"")</f>
        <v>7.1999999999999995E-2</v>
      </c>
      <c r="G640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Master'!$F:$F,B640),"")</f>
        <v>143</v>
      </c>
      <c r="H640">
        <f>IF(AND(ISNUMBER(C640),C640&gt;='Bulk Calculator'!U57/('Bulk Calculator'!J57*'Bulk Calculator'!L57)),1,0)</f>
        <v>1</v>
      </c>
      <c r="I640">
        <f>IFERROR(IF(AND(ISNUMBER(E640),ISNUMBER(F640),E640&gt;0,F640&gt;0),SQRT(3)*'Bulk Calculator'!O57*'Bulk Calculator'!AA57*((E640*'Bulk Calculator'!Q57)+(F640*SQRT(1-'Bulk Calculator'!Q57^2)))/'Bulk Calculator'!J57/'Bulk Calculator'!K57*100,D640*'Bulk Calculator'!AA57*'Bulk Calculator'!O57/'Bulk Calculator'!J57/'Bulk Calculator'!K57*100),"")</f>
        <v>0</v>
      </c>
      <c r="J640">
        <f>IFERROR(IF(AND(ISNUMBER(E640),ISNUMBER(F640),E640&gt;0,F640&gt;0),SQRT(3)*'Bulk Calculator'!O57*'Bulk Calculator'!U57*((E640*'Bulk Calculator'!M57)+(F640*SQRT(1-'Bulk Calculator'!M57^2)))/'Bulk Calculator'!J57/'Bulk Calculator'!K57*100,D640*'Bulk Calculator'!U57*'Bulk Calculator'!O57/'Bulk Calculator'!J57/'Bulk Calculator'!K57*100),"")</f>
        <v>0</v>
      </c>
      <c r="K640">
        <f>IFERROR(G640*B640*'Bulk Calculator'!J57/SQRT('Bulk Calculator'!S57)/1000,"")</f>
        <v>76.741852987792782</v>
      </c>
      <c r="L640">
        <f>IF(OR('Bulk Calculator'!R57="",'Bulk Calculator'!S57="",G640=""),0,IF(K640&gt;='Bulk Calculator'!R57,1,0))</f>
        <v>1</v>
      </c>
      <c r="M640">
        <f>IF(AND(H640=1,I640&lt;='OS-DORAEN'!$B$6,J640&lt;='OS-DORAEN'!$B$5,L640=1),1,0)</f>
        <v>1</v>
      </c>
      <c r="N640" t="str">
        <f t="shared" si="9"/>
        <v>R/X</v>
      </c>
    </row>
    <row r="641" spans="1:14" ht="15" customHeight="1" x14ac:dyDescent="0.35">
      <c r="A641">
        <v>57</v>
      </c>
      <c r="B641">
        <v>185</v>
      </c>
      <c r="C641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Master'!$F:$F,B641),"")</f>
        <v>337</v>
      </c>
      <c r="D641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Master'!$F:$F,B641),"")</f>
        <v>0.21099999999999999</v>
      </c>
      <c r="E641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Master'!$F:$F,B641),"")</f>
        <v>0.21099999999999999</v>
      </c>
      <c r="F641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Master'!$F:$F,B641),"")</f>
        <v>7.1999999999999995E-2</v>
      </c>
      <c r="G641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Master'!$F:$F,B641),"")</f>
        <v>143</v>
      </c>
      <c r="H641">
        <f>IF(AND(ISNUMBER(C641),C641&gt;='Bulk Calculator'!U57/('Bulk Calculator'!J57*'Bulk Calculator'!L57)),1,0)</f>
        <v>1</v>
      </c>
      <c r="I641">
        <f>IFERROR(IF(AND(ISNUMBER(E641),ISNUMBER(F641),E641&gt;0,F641&gt;0),SQRT(3)*'Bulk Calculator'!O57*'Bulk Calculator'!AA57*((E641*'Bulk Calculator'!Q57)+(F641*SQRT(1-'Bulk Calculator'!Q57^2)))/'Bulk Calculator'!J57/'Bulk Calculator'!K57*100,D641*'Bulk Calculator'!AA57*'Bulk Calculator'!O57/'Bulk Calculator'!J57/'Bulk Calculator'!K57*100),"")</f>
        <v>0</v>
      </c>
      <c r="J641">
        <f>IFERROR(IF(AND(ISNUMBER(E641),ISNUMBER(F641),E641&gt;0,F641&gt;0),SQRT(3)*'Bulk Calculator'!O57*'Bulk Calculator'!U57*((E641*'Bulk Calculator'!M57)+(F641*SQRT(1-'Bulk Calculator'!M57^2)))/'Bulk Calculator'!J57/'Bulk Calculator'!K57*100,D641*'Bulk Calculator'!U57*'Bulk Calculator'!O57/'Bulk Calculator'!J57/'Bulk Calculator'!K57*100),"")</f>
        <v>0</v>
      </c>
      <c r="K641">
        <f>IFERROR(G641*B641*'Bulk Calculator'!J57/SQRT('Bulk Calculator'!S57)/1000,"")</f>
        <v>59.155178344756941</v>
      </c>
      <c r="L641">
        <f>IF(OR('Bulk Calculator'!R57="",'Bulk Calculator'!S57="",G641=""),0,IF(K641&gt;='Bulk Calculator'!R57,1,0))</f>
        <v>1</v>
      </c>
      <c r="M641">
        <f>IF(AND(H641=1,I641&lt;='OS-DORAEN'!$B$6,J641&lt;='OS-DORAEN'!$B$5,L641=1),1,0)</f>
        <v>1</v>
      </c>
      <c r="N641" t="str">
        <f t="shared" si="9"/>
        <v>R/X</v>
      </c>
    </row>
    <row r="642" spans="1:14" ht="15" customHeight="1" x14ac:dyDescent="0.35">
      <c r="A642">
        <v>57</v>
      </c>
      <c r="B642">
        <v>150</v>
      </c>
      <c r="C642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Master'!$F:$F,B642),"")</f>
        <v>292</v>
      </c>
      <c r="D642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Master'!$F:$F,B642),"")</f>
        <v>0.26500000000000001</v>
      </c>
      <c r="E642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Master'!$F:$F,B642),"")</f>
        <v>0.26500000000000001</v>
      </c>
      <c r="F642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Master'!$F:$F,B642),"")</f>
        <v>7.1999999999999995E-2</v>
      </c>
      <c r="G642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Master'!$F:$F,B642),"")</f>
        <v>143</v>
      </c>
      <c r="H642">
        <f>IF(AND(ISNUMBER(C642),C642&gt;='Bulk Calculator'!U57/('Bulk Calculator'!J57*'Bulk Calculator'!L57)),1,0)</f>
        <v>1</v>
      </c>
      <c r="I642">
        <f>IFERROR(IF(AND(ISNUMBER(E642),ISNUMBER(F642),E642&gt;0,F642&gt;0),SQRT(3)*'Bulk Calculator'!O57*'Bulk Calculator'!AA57*((E642*'Bulk Calculator'!Q57)+(F642*SQRT(1-'Bulk Calculator'!Q57^2)))/'Bulk Calculator'!J57/'Bulk Calculator'!K57*100,D642*'Bulk Calculator'!AA57*'Bulk Calculator'!O57/'Bulk Calculator'!J57/'Bulk Calculator'!K57*100),"")</f>
        <v>0</v>
      </c>
      <c r="J642">
        <f>IFERROR(IF(AND(ISNUMBER(E642),ISNUMBER(F642),E642&gt;0,F642&gt;0),SQRT(3)*'Bulk Calculator'!O57*'Bulk Calculator'!U57*((E642*'Bulk Calculator'!M57)+(F642*SQRT(1-'Bulk Calculator'!M57^2)))/'Bulk Calculator'!J57/'Bulk Calculator'!K57*100,D642*'Bulk Calculator'!U57*'Bulk Calculator'!O57/'Bulk Calculator'!J57/'Bulk Calculator'!K57*100),"")</f>
        <v>0</v>
      </c>
      <c r="K642">
        <f>IFERROR(G642*B642*'Bulk Calculator'!J57/SQRT('Bulk Calculator'!S57)/1000,"")</f>
        <v>47.963658117370493</v>
      </c>
      <c r="L642">
        <f>IF(OR('Bulk Calculator'!R57="",'Bulk Calculator'!S57="",G642=""),0,IF(K642&gt;='Bulk Calculator'!R57,1,0))</f>
        <v>1</v>
      </c>
      <c r="M642">
        <f>IF(AND(H642=1,I642&lt;='OS-DORAEN'!$B$6,J642&lt;='OS-DORAEN'!$B$5,L642=1),1,0)</f>
        <v>1</v>
      </c>
      <c r="N642" t="str">
        <f t="shared" ref="N642:N705" si="10">IF(AND(ISNUMBER(E642),ISNUMBER(F642),E642&gt;0,F642&gt;0),"R/X","Manufacturer VD Ref")</f>
        <v>R/X</v>
      </c>
    </row>
    <row r="643" spans="1:14" ht="15" customHeight="1" x14ac:dyDescent="0.35">
      <c r="A643">
        <v>57</v>
      </c>
      <c r="B643">
        <v>120</v>
      </c>
      <c r="C643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Master'!$F:$F,B643),"")</f>
        <v>257</v>
      </c>
      <c r="D643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Master'!$F:$F,B643),"")</f>
        <v>0.32500000000000001</v>
      </c>
      <c r="E643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Master'!$F:$F,B643),"")</f>
        <v>0.32500000000000001</v>
      </c>
      <c r="F643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Master'!$F:$F,B643),"")</f>
        <v>7.1999999999999995E-2</v>
      </c>
      <c r="G643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Master'!$F:$F,B643),"")</f>
        <v>143</v>
      </c>
      <c r="H643">
        <f>IF(AND(ISNUMBER(C643),C643&gt;='Bulk Calculator'!U57/('Bulk Calculator'!J57*'Bulk Calculator'!L57)),1,0)</f>
        <v>1</v>
      </c>
      <c r="I643">
        <f>IFERROR(IF(AND(ISNUMBER(E643),ISNUMBER(F643),E643&gt;0,F643&gt;0),SQRT(3)*'Bulk Calculator'!O57*'Bulk Calculator'!AA57*((E643*'Bulk Calculator'!Q57)+(F643*SQRT(1-'Bulk Calculator'!Q57^2)))/'Bulk Calculator'!J57/'Bulk Calculator'!K57*100,D643*'Bulk Calculator'!AA57*'Bulk Calculator'!O57/'Bulk Calculator'!J57/'Bulk Calculator'!K57*100),"")</f>
        <v>0</v>
      </c>
      <c r="J643">
        <f>IFERROR(IF(AND(ISNUMBER(E643),ISNUMBER(F643),E643&gt;0,F643&gt;0),SQRT(3)*'Bulk Calculator'!O57*'Bulk Calculator'!U57*((E643*'Bulk Calculator'!M57)+(F643*SQRT(1-'Bulk Calculator'!M57^2)))/'Bulk Calculator'!J57/'Bulk Calculator'!K57*100,D643*'Bulk Calculator'!U57*'Bulk Calculator'!O57/'Bulk Calculator'!J57/'Bulk Calculator'!K57*100),"")</f>
        <v>0</v>
      </c>
      <c r="K643">
        <f>IFERROR(G643*B643*'Bulk Calculator'!J57/SQRT('Bulk Calculator'!S57)/1000,"")</f>
        <v>38.370926493896391</v>
      </c>
      <c r="L643">
        <f>IF(OR('Bulk Calculator'!R57="",'Bulk Calculator'!S57="",G643=""),0,IF(K643&gt;='Bulk Calculator'!R57,1,0))</f>
        <v>1</v>
      </c>
      <c r="M643">
        <f>IF(AND(H643=1,I643&lt;='OS-DORAEN'!$B$6,J643&lt;='OS-DORAEN'!$B$5,L643=1),1,0)</f>
        <v>1</v>
      </c>
      <c r="N643" t="str">
        <f t="shared" si="10"/>
        <v>R/X</v>
      </c>
    </row>
    <row r="644" spans="1:14" ht="15" customHeight="1" x14ac:dyDescent="0.35">
      <c r="A644">
        <v>57</v>
      </c>
      <c r="B644">
        <v>95</v>
      </c>
      <c r="C644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Master'!$F:$F,B644),"")</f>
        <v>221</v>
      </c>
      <c r="D644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Master'!$F:$F,B644),"")</f>
        <v>0.41</v>
      </c>
      <c r="E644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Master'!$F:$F,B644),"")</f>
        <v>0.41</v>
      </c>
      <c r="F644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Master'!$F:$F,B644),"")</f>
        <v>7.3999999999999996E-2</v>
      </c>
      <c r="G644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Master'!$F:$F,B644),"")</f>
        <v>143</v>
      </c>
      <c r="H644">
        <f>IF(AND(ISNUMBER(C644),C644&gt;='Bulk Calculator'!U57/('Bulk Calculator'!J57*'Bulk Calculator'!L57)),1,0)</f>
        <v>1</v>
      </c>
      <c r="I644">
        <f>IFERROR(IF(AND(ISNUMBER(E644),ISNUMBER(F644),E644&gt;0,F644&gt;0),SQRT(3)*'Bulk Calculator'!O57*'Bulk Calculator'!AA57*((E644*'Bulk Calculator'!Q57)+(F644*SQRT(1-'Bulk Calculator'!Q57^2)))/'Bulk Calculator'!J57/'Bulk Calculator'!K57*100,D644*'Bulk Calculator'!AA57*'Bulk Calculator'!O57/'Bulk Calculator'!J57/'Bulk Calculator'!K57*100),"")</f>
        <v>0</v>
      </c>
      <c r="J644">
        <f>IFERROR(IF(AND(ISNUMBER(E644),ISNUMBER(F644),E644&gt;0,F644&gt;0),SQRT(3)*'Bulk Calculator'!O57*'Bulk Calculator'!U57*((E644*'Bulk Calculator'!M57)+(F644*SQRT(1-'Bulk Calculator'!M57^2)))/'Bulk Calculator'!J57/'Bulk Calculator'!K57*100,D644*'Bulk Calculator'!U57*'Bulk Calculator'!O57/'Bulk Calculator'!J57/'Bulk Calculator'!K57*100),"")</f>
        <v>0</v>
      </c>
      <c r="K644">
        <f>IFERROR(G644*B644*'Bulk Calculator'!J57/SQRT('Bulk Calculator'!S57)/1000,"")</f>
        <v>30.376983474334644</v>
      </c>
      <c r="L644">
        <f>IF(OR('Bulk Calculator'!R57="",'Bulk Calculator'!S57="",G644=""),0,IF(K644&gt;='Bulk Calculator'!R57,1,0))</f>
        <v>1</v>
      </c>
      <c r="M644">
        <f>IF(AND(H644=1,I644&lt;='OS-DORAEN'!$B$6,J644&lt;='OS-DORAEN'!$B$5,L644=1),1,0)</f>
        <v>1</v>
      </c>
      <c r="N644" t="str">
        <f t="shared" si="10"/>
        <v>R/X</v>
      </c>
    </row>
    <row r="645" spans="1:14" ht="15" customHeight="1" x14ac:dyDescent="0.35">
      <c r="A645">
        <v>57</v>
      </c>
      <c r="B645">
        <v>70</v>
      </c>
      <c r="C645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Master'!$F:$F,B645),"")</f>
        <v>179</v>
      </c>
      <c r="D645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Master'!$F:$F,B645),"")</f>
        <v>0.56699999999999995</v>
      </c>
      <c r="E645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Master'!$F:$F,B645),"")</f>
        <v>0.56699999999999995</v>
      </c>
      <c r="F645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Master'!$F:$F,B645),"")</f>
        <v>7.6999999999999999E-2</v>
      </c>
      <c r="G645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Master'!$F:$F,B645),"")</f>
        <v>143</v>
      </c>
      <c r="H645">
        <f>IF(AND(ISNUMBER(C645),C645&gt;='Bulk Calculator'!U57/('Bulk Calculator'!J57*'Bulk Calculator'!L57)),1,0)</f>
        <v>1</v>
      </c>
      <c r="I645">
        <f>IFERROR(IF(AND(ISNUMBER(E645),ISNUMBER(F645),E645&gt;0,F645&gt;0),SQRT(3)*'Bulk Calculator'!O57*'Bulk Calculator'!AA57*((E645*'Bulk Calculator'!Q57)+(F645*SQRT(1-'Bulk Calculator'!Q57^2)))/'Bulk Calculator'!J57/'Bulk Calculator'!K57*100,D645*'Bulk Calculator'!AA57*'Bulk Calculator'!O57/'Bulk Calculator'!J57/'Bulk Calculator'!K57*100),"")</f>
        <v>0</v>
      </c>
      <c r="J645">
        <f>IFERROR(IF(AND(ISNUMBER(E645),ISNUMBER(F645),E645&gt;0,F645&gt;0),SQRT(3)*'Bulk Calculator'!O57*'Bulk Calculator'!U57*((E645*'Bulk Calculator'!M57)+(F645*SQRT(1-'Bulk Calculator'!M57^2)))/'Bulk Calculator'!J57/'Bulk Calculator'!K57*100,D645*'Bulk Calculator'!U57*'Bulk Calculator'!O57/'Bulk Calculator'!J57/'Bulk Calculator'!K57*100),"")</f>
        <v>0</v>
      </c>
      <c r="K645">
        <f>IFERROR(G645*B645*'Bulk Calculator'!J57/SQRT('Bulk Calculator'!S57)/1000,"")</f>
        <v>22.383040454772893</v>
      </c>
      <c r="L645">
        <f>IF(OR('Bulk Calculator'!R57="",'Bulk Calculator'!S57="",G645=""),0,IF(K645&gt;='Bulk Calculator'!R57,1,0))</f>
        <v>1</v>
      </c>
      <c r="M645">
        <f>IF(AND(H645=1,I645&lt;='OS-DORAEN'!$B$6,J645&lt;='OS-DORAEN'!$B$5,L645=1),1,0)</f>
        <v>1</v>
      </c>
      <c r="N645" t="str">
        <f t="shared" si="10"/>
        <v>R/X</v>
      </c>
    </row>
    <row r="646" spans="1:14" ht="15" customHeight="1" x14ac:dyDescent="0.35">
      <c r="A646">
        <v>57</v>
      </c>
      <c r="B646">
        <v>50</v>
      </c>
      <c r="C646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Master'!$F:$F,B646),"")</f>
        <v>142</v>
      </c>
      <c r="D646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Master'!$F:$F,B646),"")</f>
        <v>0.82</v>
      </c>
      <c r="E646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Master'!$F:$F,B646),"")</f>
        <v>0.82</v>
      </c>
      <c r="F646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Master'!$F:$F,B646),"")</f>
        <v>7.8E-2</v>
      </c>
      <c r="G646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Master'!$F:$F,B646),"")</f>
        <v>143</v>
      </c>
      <c r="H646">
        <f>IF(AND(ISNUMBER(C646),C646&gt;='Bulk Calculator'!U57/('Bulk Calculator'!J57*'Bulk Calculator'!L57)),1,0)</f>
        <v>1</v>
      </c>
      <c r="I646">
        <f>IFERROR(IF(AND(ISNUMBER(E646),ISNUMBER(F646),E646&gt;0,F646&gt;0),SQRT(3)*'Bulk Calculator'!O57*'Bulk Calculator'!AA57*((E646*'Bulk Calculator'!Q57)+(F646*SQRT(1-'Bulk Calculator'!Q57^2)))/'Bulk Calculator'!J57/'Bulk Calculator'!K57*100,D646*'Bulk Calculator'!AA57*'Bulk Calculator'!O57/'Bulk Calculator'!J57/'Bulk Calculator'!K57*100),"")</f>
        <v>0</v>
      </c>
      <c r="J646">
        <f>IFERROR(IF(AND(ISNUMBER(E646),ISNUMBER(F646),E646&gt;0,F646&gt;0),SQRT(3)*'Bulk Calculator'!O57*'Bulk Calculator'!U57*((E646*'Bulk Calculator'!M57)+(F646*SQRT(1-'Bulk Calculator'!M57^2)))/'Bulk Calculator'!J57/'Bulk Calculator'!K57*100,D646*'Bulk Calculator'!U57*'Bulk Calculator'!O57/'Bulk Calculator'!J57/'Bulk Calculator'!K57*100),"")</f>
        <v>0</v>
      </c>
      <c r="K646">
        <f>IFERROR(G646*B646*'Bulk Calculator'!J57/SQRT('Bulk Calculator'!S57)/1000,"")</f>
        <v>15.987886039123497</v>
      </c>
      <c r="L646">
        <f>IF(OR('Bulk Calculator'!R57="",'Bulk Calculator'!S57="",G646=""),0,IF(K646&gt;='Bulk Calculator'!R57,1,0))</f>
        <v>1</v>
      </c>
      <c r="M646">
        <f>IF(AND(H646=1,I646&lt;='OS-DORAEN'!$B$6,J646&lt;='OS-DORAEN'!$B$5,L646=1),1,0)</f>
        <v>1</v>
      </c>
      <c r="N646" t="str">
        <f t="shared" si="10"/>
        <v>R/X</v>
      </c>
    </row>
    <row r="647" spans="1:14" ht="15" customHeight="1" x14ac:dyDescent="0.35">
      <c r="A647">
        <v>57</v>
      </c>
      <c r="B647">
        <v>35</v>
      </c>
      <c r="C647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Master'!$F:$F,B647),"")</f>
        <v>117</v>
      </c>
      <c r="D647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Master'!$F:$F,B647),"")</f>
        <v>1.1100000000000001</v>
      </c>
      <c r="E647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Master'!$F:$F,B647),"")</f>
        <v>1.1100000000000001</v>
      </c>
      <c r="F647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Master'!$F:$F,B647),"")</f>
        <v>0.08</v>
      </c>
      <c r="G647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Master'!$F:$F,B647),"")</f>
        <v>143</v>
      </c>
      <c r="H647">
        <f>IF(AND(ISNUMBER(C647),C647&gt;='Bulk Calculator'!U57/('Bulk Calculator'!J57*'Bulk Calculator'!L57)),1,0)</f>
        <v>1</v>
      </c>
      <c r="I647">
        <f>IFERROR(IF(AND(ISNUMBER(E647),ISNUMBER(F647),E647&gt;0,F647&gt;0),SQRT(3)*'Bulk Calculator'!O57*'Bulk Calculator'!AA57*((E647*'Bulk Calculator'!Q57)+(F647*SQRT(1-'Bulk Calculator'!Q57^2)))/'Bulk Calculator'!J57/'Bulk Calculator'!K57*100,D647*'Bulk Calculator'!AA57*'Bulk Calculator'!O57/'Bulk Calculator'!J57/'Bulk Calculator'!K57*100),"")</f>
        <v>0</v>
      </c>
      <c r="J647">
        <f>IFERROR(IF(AND(ISNUMBER(E647),ISNUMBER(F647),E647&gt;0,F647&gt;0),SQRT(3)*'Bulk Calculator'!O57*'Bulk Calculator'!U57*((E647*'Bulk Calculator'!M57)+(F647*SQRT(1-'Bulk Calculator'!M57^2)))/'Bulk Calculator'!J57/'Bulk Calculator'!K57*100,D647*'Bulk Calculator'!U57*'Bulk Calculator'!O57/'Bulk Calculator'!J57/'Bulk Calculator'!K57*100),"")</f>
        <v>0</v>
      </c>
      <c r="K647">
        <f>IFERROR(G647*B647*'Bulk Calculator'!J57/SQRT('Bulk Calculator'!S57)/1000,"")</f>
        <v>11.191520227386446</v>
      </c>
      <c r="L647">
        <f>IF(OR('Bulk Calculator'!R57="",'Bulk Calculator'!S57="",G647=""),0,IF(K647&gt;='Bulk Calculator'!R57,1,0))</f>
        <v>1</v>
      </c>
      <c r="M647">
        <f>IF(AND(H647=1,I647&lt;='OS-DORAEN'!$B$6,J647&lt;='OS-DORAEN'!$B$5,L647=1),1,0)</f>
        <v>1</v>
      </c>
      <c r="N647" t="str">
        <f t="shared" si="10"/>
        <v>R/X</v>
      </c>
    </row>
    <row r="648" spans="1:14" ht="15" customHeight="1" x14ac:dyDescent="0.35">
      <c r="A648">
        <v>57</v>
      </c>
      <c r="B648">
        <v>25</v>
      </c>
      <c r="C648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Master'!$F:$F,B648),"")</f>
        <v>96</v>
      </c>
      <c r="D648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Master'!$F:$F,B648),"")</f>
        <v>1.54</v>
      </c>
      <c r="E648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Master'!$F:$F,B648),"")</f>
        <v>1.54</v>
      </c>
      <c r="F648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Master'!$F:$F,B648),"")</f>
        <v>0.08</v>
      </c>
      <c r="G648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Master'!$F:$F,B648),"")</f>
        <v>143</v>
      </c>
      <c r="H648">
        <f>IF(AND(ISNUMBER(C648),C648&gt;='Bulk Calculator'!U57/('Bulk Calculator'!J57*'Bulk Calculator'!L57)),1,0)</f>
        <v>1</v>
      </c>
      <c r="I648">
        <f>IFERROR(IF(AND(ISNUMBER(E648),ISNUMBER(F648),E648&gt;0,F648&gt;0),SQRT(3)*'Bulk Calculator'!O57*'Bulk Calculator'!AA57*((E648*'Bulk Calculator'!Q57)+(F648*SQRT(1-'Bulk Calculator'!Q57^2)))/'Bulk Calculator'!J57/'Bulk Calculator'!K57*100,D648*'Bulk Calculator'!AA57*'Bulk Calculator'!O57/'Bulk Calculator'!J57/'Bulk Calculator'!K57*100),"")</f>
        <v>0</v>
      </c>
      <c r="J648">
        <f>IFERROR(IF(AND(ISNUMBER(E648),ISNUMBER(F648),E648&gt;0,F648&gt;0),SQRT(3)*'Bulk Calculator'!O57*'Bulk Calculator'!U57*((E648*'Bulk Calculator'!M57)+(F648*SQRT(1-'Bulk Calculator'!M57^2)))/'Bulk Calculator'!J57/'Bulk Calculator'!K57*100,D648*'Bulk Calculator'!U57*'Bulk Calculator'!O57/'Bulk Calculator'!J57/'Bulk Calculator'!K57*100),"")</f>
        <v>0</v>
      </c>
      <c r="K648">
        <f>IFERROR(G648*B648*'Bulk Calculator'!J57/SQRT('Bulk Calculator'!S57)/1000,"")</f>
        <v>7.9939430195617485</v>
      </c>
      <c r="L648">
        <f>IF(OR('Bulk Calculator'!R57="",'Bulk Calculator'!S57="",G648=""),0,IF(K648&gt;='Bulk Calculator'!R57,1,0))</f>
        <v>1</v>
      </c>
      <c r="M648">
        <f>IF(AND(H648=1,I648&lt;='OS-DORAEN'!$B$6,J648&lt;='OS-DORAEN'!$B$5,L648=1),1,0)</f>
        <v>1</v>
      </c>
      <c r="N648" t="str">
        <f t="shared" si="10"/>
        <v>R/X</v>
      </c>
    </row>
    <row r="649" spans="1:14" ht="15" customHeight="1" x14ac:dyDescent="0.35">
      <c r="A649">
        <v>57</v>
      </c>
      <c r="B649">
        <v>16</v>
      </c>
      <c r="C649">
        <f>IFERROR(SUMIFS('Cable Data Master'!$G:$G,'Cable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Master'!$F:$F,B649),"")</f>
        <v>0</v>
      </c>
      <c r="D649">
        <f>IFERROR(SUMIFS('Cable Data Master'!$K:$K,'Cable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Master'!$F:$F,B649),"")</f>
        <v>0</v>
      </c>
      <c r="E649">
        <f>IFERROR(SUMIFS('Cable Data Master'!$H:$H,'Cable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Master'!$F:$F,B649),"")</f>
        <v>0</v>
      </c>
      <c r="F649">
        <f>IFERROR(SUMIFS('Cable Data Master'!$I:$I,'Cable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Master'!$F:$F,B649),"")</f>
        <v>0</v>
      </c>
      <c r="G649">
        <f>IFERROR(SUMIFS('Cable Data Master'!$J:$J,'Cable Data Master'!$A:$A,'Bulk Calculator'!$BF57,'Cable Data Master'!$B:$B,'Bulk Calculator'!$BG57,'Cable Data Master'!$C:$C,'Bulk Calculator'!$BH57,'Cable Data Master'!$D:$D,'Bulk Calculator'!$BI57,'Cable Data Master'!$E:$E,'Bulk Calculator'!$BJ57,'Cable Data Master'!$F:$F,B649),"")</f>
        <v>0</v>
      </c>
      <c r="H649">
        <f>IF(AND(ISNUMBER(C649),C649&gt;='Bulk Calculator'!U57/('Bulk Calculator'!J57*'Bulk Calculator'!L57)),1,0)</f>
        <v>1</v>
      </c>
      <c r="I649">
        <f>IFERROR(IF(AND(ISNUMBER(E649),ISNUMBER(F649),E649&gt;0,F649&gt;0),SQRT(3)*'Bulk Calculator'!O57*'Bulk Calculator'!AA57*((E649*'Bulk Calculator'!Q57)+(F649*SQRT(1-'Bulk Calculator'!Q57^2)))/'Bulk Calculator'!J57/'Bulk Calculator'!K57*100,D649*'Bulk Calculator'!AA57*'Bulk Calculator'!O57/'Bulk Calculator'!J57/'Bulk Calculator'!K57*100),"")</f>
        <v>0</v>
      </c>
      <c r="J649">
        <f>IFERROR(IF(AND(ISNUMBER(E649),ISNUMBER(F649),E649&gt;0,F649&gt;0),SQRT(3)*'Bulk Calculator'!O57*'Bulk Calculator'!U57*((E649*'Bulk Calculator'!M57)+(F649*SQRT(1-'Bulk Calculator'!M57^2)))/'Bulk Calculator'!J57/'Bulk Calculator'!K57*100,D649*'Bulk Calculator'!U57*'Bulk Calculator'!O57/'Bulk Calculator'!J57/'Bulk Calculator'!K57*100),"")</f>
        <v>0</v>
      </c>
      <c r="K649">
        <f>IFERROR(G649*B649*'Bulk Calculator'!J57/SQRT('Bulk Calculator'!S57)/1000,"")</f>
        <v>0</v>
      </c>
      <c r="L649">
        <f>IF(OR('Bulk Calculator'!R57="",'Bulk Calculator'!S57="",G649=""),0,IF(K649&gt;='Bulk Calculator'!R57,1,0))</f>
        <v>1</v>
      </c>
      <c r="M649">
        <f>IF(AND(H649=1,I649&lt;='OS-DORAEN'!$B$6,J649&lt;='OS-DORAEN'!$B$5,L649=1),1,0)</f>
        <v>1</v>
      </c>
      <c r="N649" t="str">
        <f t="shared" si="10"/>
        <v>Manufacturer VD Ref</v>
      </c>
    </row>
    <row r="650" spans="1:14" ht="15" customHeight="1" x14ac:dyDescent="0.35">
      <c r="A650">
        <v>58</v>
      </c>
      <c r="B650">
        <v>400</v>
      </c>
      <c r="C650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Master'!$F:$F,B650),"")</f>
        <v>530</v>
      </c>
      <c r="D650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Master'!$F:$F,B650),"")</f>
        <v>0.1023</v>
      </c>
      <c r="E650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Master'!$F:$F,B650),"")</f>
        <v>0.1023</v>
      </c>
      <c r="F650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Master'!$F:$F,B650),"")</f>
        <v>7.0000000000000007E-2</v>
      </c>
      <c r="G650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Master'!$F:$F,B650),"")</f>
        <v>143</v>
      </c>
      <c r="H650">
        <f>IF(AND(ISNUMBER(C650),C650&gt;='Bulk Calculator'!U58/('Bulk Calculator'!J58*'Bulk Calculator'!L58)),1,0)</f>
        <v>1</v>
      </c>
      <c r="I650">
        <f>IFERROR(IF(AND(ISNUMBER(E650),ISNUMBER(F650),E650&gt;0,F650&gt;0),SQRT(3)*'Bulk Calculator'!O58*'Bulk Calculator'!AA58*((E650*'Bulk Calculator'!Q58)+(F650*SQRT(1-'Bulk Calculator'!Q58^2)))/'Bulk Calculator'!J58/'Bulk Calculator'!K58*100,D650*'Bulk Calculator'!AA58*'Bulk Calculator'!O58/'Bulk Calculator'!J58/'Bulk Calculator'!K58*100),"")</f>
        <v>0</v>
      </c>
      <c r="J650">
        <f>IFERROR(IF(AND(ISNUMBER(E650),ISNUMBER(F650),E650&gt;0,F650&gt;0),SQRT(3)*'Bulk Calculator'!O58*'Bulk Calculator'!U58*((E650*'Bulk Calculator'!M58)+(F650*SQRT(1-'Bulk Calculator'!M58^2)))/'Bulk Calculator'!J58/'Bulk Calculator'!K58*100,D650*'Bulk Calculator'!U58*'Bulk Calculator'!O58/'Bulk Calculator'!J58/'Bulk Calculator'!K58*100),"")</f>
        <v>0</v>
      </c>
      <c r="K650">
        <f>IFERROR(G650*B650*'Bulk Calculator'!J58/SQRT('Bulk Calculator'!S58)/1000,"")</f>
        <v>127.90308831298798</v>
      </c>
      <c r="L650">
        <f>IF(OR('Bulk Calculator'!R58="",'Bulk Calculator'!S58="",G650=""),0,IF(K650&gt;='Bulk Calculator'!R58,1,0))</f>
        <v>1</v>
      </c>
      <c r="M650">
        <f>IF(AND(H650=1,I650&lt;='OS-DORAEN'!$B$6,J650&lt;='OS-DORAEN'!$B$5,L650=1),1,0)</f>
        <v>1</v>
      </c>
      <c r="N650" t="str">
        <f t="shared" si="10"/>
        <v>R/X</v>
      </c>
    </row>
    <row r="651" spans="1:14" ht="15" customHeight="1" x14ac:dyDescent="0.35">
      <c r="A651">
        <v>58</v>
      </c>
      <c r="B651">
        <v>300</v>
      </c>
      <c r="C651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Master'!$F:$F,B651),"")</f>
        <v>455</v>
      </c>
      <c r="D651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Master'!$F:$F,B651),"")</f>
        <v>0.13</v>
      </c>
      <c r="E651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Master'!$F:$F,B651),"")</f>
        <v>0.13</v>
      </c>
      <c r="F651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Master'!$F:$F,B651),"")</f>
        <v>7.0999999999999994E-2</v>
      </c>
      <c r="G651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Master'!$F:$F,B651),"")</f>
        <v>143</v>
      </c>
      <c r="H651">
        <f>IF(AND(ISNUMBER(C651),C651&gt;='Bulk Calculator'!U58/('Bulk Calculator'!J58*'Bulk Calculator'!L58)),1,0)</f>
        <v>1</v>
      </c>
      <c r="I651">
        <f>IFERROR(IF(AND(ISNUMBER(E651),ISNUMBER(F651),E651&gt;0,F651&gt;0),SQRT(3)*'Bulk Calculator'!O58*'Bulk Calculator'!AA58*((E651*'Bulk Calculator'!Q58)+(F651*SQRT(1-'Bulk Calculator'!Q58^2)))/'Bulk Calculator'!J58/'Bulk Calculator'!K58*100,D651*'Bulk Calculator'!AA58*'Bulk Calculator'!O58/'Bulk Calculator'!J58/'Bulk Calculator'!K58*100),"")</f>
        <v>0</v>
      </c>
      <c r="J651">
        <f>IFERROR(IF(AND(ISNUMBER(E651),ISNUMBER(F651),E651&gt;0,F651&gt;0),SQRT(3)*'Bulk Calculator'!O58*'Bulk Calculator'!U58*((E651*'Bulk Calculator'!M58)+(F651*SQRT(1-'Bulk Calculator'!M58^2)))/'Bulk Calculator'!J58/'Bulk Calculator'!K58*100,D651*'Bulk Calculator'!U58*'Bulk Calculator'!O58/'Bulk Calculator'!J58/'Bulk Calculator'!K58*100),"")</f>
        <v>0</v>
      </c>
      <c r="K651">
        <f>IFERROR(G651*B651*'Bulk Calculator'!J58/SQRT('Bulk Calculator'!S58)/1000,"")</f>
        <v>95.927316234740985</v>
      </c>
      <c r="L651">
        <f>IF(OR('Bulk Calculator'!R58="",'Bulk Calculator'!S58="",G651=""),0,IF(K651&gt;='Bulk Calculator'!R58,1,0))</f>
        <v>1</v>
      </c>
      <c r="M651">
        <f>IF(AND(H651=1,I651&lt;='OS-DORAEN'!$B$6,J651&lt;='OS-DORAEN'!$B$5,L651=1),1,0)</f>
        <v>1</v>
      </c>
      <c r="N651" t="str">
        <f t="shared" si="10"/>
        <v>R/X</v>
      </c>
    </row>
    <row r="652" spans="1:14" ht="15" customHeight="1" x14ac:dyDescent="0.35">
      <c r="A652">
        <v>58</v>
      </c>
      <c r="B652">
        <v>240</v>
      </c>
      <c r="C652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Master'!$F:$F,B652),"")</f>
        <v>399</v>
      </c>
      <c r="D652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Master'!$F:$F,B652),"")</f>
        <v>0.16200000000000001</v>
      </c>
      <c r="E652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Master'!$F:$F,B652),"")</f>
        <v>0.16200000000000001</v>
      </c>
      <c r="F652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Master'!$F:$F,B652),"")</f>
        <v>7.1999999999999995E-2</v>
      </c>
      <c r="G652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Master'!$F:$F,B652),"")</f>
        <v>143</v>
      </c>
      <c r="H652">
        <f>IF(AND(ISNUMBER(C652),C652&gt;='Bulk Calculator'!U58/('Bulk Calculator'!J58*'Bulk Calculator'!L58)),1,0)</f>
        <v>1</v>
      </c>
      <c r="I652">
        <f>IFERROR(IF(AND(ISNUMBER(E652),ISNUMBER(F652),E652&gt;0,F652&gt;0),SQRT(3)*'Bulk Calculator'!O58*'Bulk Calculator'!AA58*((E652*'Bulk Calculator'!Q58)+(F652*SQRT(1-'Bulk Calculator'!Q58^2)))/'Bulk Calculator'!J58/'Bulk Calculator'!K58*100,D652*'Bulk Calculator'!AA58*'Bulk Calculator'!O58/'Bulk Calculator'!J58/'Bulk Calculator'!K58*100),"")</f>
        <v>0</v>
      </c>
      <c r="J652">
        <f>IFERROR(IF(AND(ISNUMBER(E652),ISNUMBER(F652),E652&gt;0,F652&gt;0),SQRT(3)*'Bulk Calculator'!O58*'Bulk Calculator'!U58*((E652*'Bulk Calculator'!M58)+(F652*SQRT(1-'Bulk Calculator'!M58^2)))/'Bulk Calculator'!J58/'Bulk Calculator'!K58*100,D652*'Bulk Calculator'!U58*'Bulk Calculator'!O58/'Bulk Calculator'!J58/'Bulk Calculator'!K58*100),"")</f>
        <v>0</v>
      </c>
      <c r="K652">
        <f>IFERROR(G652*B652*'Bulk Calculator'!J58/SQRT('Bulk Calculator'!S58)/1000,"")</f>
        <v>76.741852987792782</v>
      </c>
      <c r="L652">
        <f>IF(OR('Bulk Calculator'!R58="",'Bulk Calculator'!S58="",G652=""),0,IF(K652&gt;='Bulk Calculator'!R58,1,0))</f>
        <v>1</v>
      </c>
      <c r="M652">
        <f>IF(AND(H652=1,I652&lt;='OS-DORAEN'!$B$6,J652&lt;='OS-DORAEN'!$B$5,L652=1),1,0)</f>
        <v>1</v>
      </c>
      <c r="N652" t="str">
        <f t="shared" si="10"/>
        <v>R/X</v>
      </c>
    </row>
    <row r="653" spans="1:14" ht="15" customHeight="1" x14ac:dyDescent="0.35">
      <c r="A653">
        <v>58</v>
      </c>
      <c r="B653">
        <v>185</v>
      </c>
      <c r="C653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Master'!$F:$F,B653),"")</f>
        <v>337</v>
      </c>
      <c r="D653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Master'!$F:$F,B653),"")</f>
        <v>0.21099999999999999</v>
      </c>
      <c r="E653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Master'!$F:$F,B653),"")</f>
        <v>0.21099999999999999</v>
      </c>
      <c r="F653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Master'!$F:$F,B653),"")</f>
        <v>7.1999999999999995E-2</v>
      </c>
      <c r="G653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Master'!$F:$F,B653),"")</f>
        <v>143</v>
      </c>
      <c r="H653">
        <f>IF(AND(ISNUMBER(C653),C653&gt;='Bulk Calculator'!U58/('Bulk Calculator'!J58*'Bulk Calculator'!L58)),1,0)</f>
        <v>1</v>
      </c>
      <c r="I653">
        <f>IFERROR(IF(AND(ISNUMBER(E653),ISNUMBER(F653),E653&gt;0,F653&gt;0),SQRT(3)*'Bulk Calculator'!O58*'Bulk Calculator'!AA58*((E653*'Bulk Calculator'!Q58)+(F653*SQRT(1-'Bulk Calculator'!Q58^2)))/'Bulk Calculator'!J58/'Bulk Calculator'!K58*100,D653*'Bulk Calculator'!AA58*'Bulk Calculator'!O58/'Bulk Calculator'!J58/'Bulk Calculator'!K58*100),"")</f>
        <v>0</v>
      </c>
      <c r="J653">
        <f>IFERROR(IF(AND(ISNUMBER(E653),ISNUMBER(F653),E653&gt;0,F653&gt;0),SQRT(3)*'Bulk Calculator'!O58*'Bulk Calculator'!U58*((E653*'Bulk Calculator'!M58)+(F653*SQRT(1-'Bulk Calculator'!M58^2)))/'Bulk Calculator'!J58/'Bulk Calculator'!K58*100,D653*'Bulk Calculator'!U58*'Bulk Calculator'!O58/'Bulk Calculator'!J58/'Bulk Calculator'!K58*100),"")</f>
        <v>0</v>
      </c>
      <c r="K653">
        <f>IFERROR(G653*B653*'Bulk Calculator'!J58/SQRT('Bulk Calculator'!S58)/1000,"")</f>
        <v>59.155178344756941</v>
      </c>
      <c r="L653">
        <f>IF(OR('Bulk Calculator'!R58="",'Bulk Calculator'!S58="",G653=""),0,IF(K653&gt;='Bulk Calculator'!R58,1,0))</f>
        <v>1</v>
      </c>
      <c r="M653">
        <f>IF(AND(H653=1,I653&lt;='OS-DORAEN'!$B$6,J653&lt;='OS-DORAEN'!$B$5,L653=1),1,0)</f>
        <v>1</v>
      </c>
      <c r="N653" t="str">
        <f t="shared" si="10"/>
        <v>R/X</v>
      </c>
    </row>
    <row r="654" spans="1:14" ht="15" customHeight="1" x14ac:dyDescent="0.35">
      <c r="A654">
        <v>58</v>
      </c>
      <c r="B654">
        <v>150</v>
      </c>
      <c r="C654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Master'!$F:$F,B654),"")</f>
        <v>292</v>
      </c>
      <c r="D654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Master'!$F:$F,B654),"")</f>
        <v>0.26500000000000001</v>
      </c>
      <c r="E654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Master'!$F:$F,B654),"")</f>
        <v>0.26500000000000001</v>
      </c>
      <c r="F654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Master'!$F:$F,B654),"")</f>
        <v>7.1999999999999995E-2</v>
      </c>
      <c r="G654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Master'!$F:$F,B654),"")</f>
        <v>143</v>
      </c>
      <c r="H654">
        <f>IF(AND(ISNUMBER(C654),C654&gt;='Bulk Calculator'!U58/('Bulk Calculator'!J58*'Bulk Calculator'!L58)),1,0)</f>
        <v>1</v>
      </c>
      <c r="I654">
        <f>IFERROR(IF(AND(ISNUMBER(E654),ISNUMBER(F654),E654&gt;0,F654&gt;0),SQRT(3)*'Bulk Calculator'!O58*'Bulk Calculator'!AA58*((E654*'Bulk Calculator'!Q58)+(F654*SQRT(1-'Bulk Calculator'!Q58^2)))/'Bulk Calculator'!J58/'Bulk Calculator'!K58*100,D654*'Bulk Calculator'!AA58*'Bulk Calculator'!O58/'Bulk Calculator'!J58/'Bulk Calculator'!K58*100),"")</f>
        <v>0</v>
      </c>
      <c r="J654">
        <f>IFERROR(IF(AND(ISNUMBER(E654),ISNUMBER(F654),E654&gt;0,F654&gt;0),SQRT(3)*'Bulk Calculator'!O58*'Bulk Calculator'!U58*((E654*'Bulk Calculator'!M58)+(F654*SQRT(1-'Bulk Calculator'!M58^2)))/'Bulk Calculator'!J58/'Bulk Calculator'!K58*100,D654*'Bulk Calculator'!U58*'Bulk Calculator'!O58/'Bulk Calculator'!J58/'Bulk Calculator'!K58*100),"")</f>
        <v>0</v>
      </c>
      <c r="K654">
        <f>IFERROR(G654*B654*'Bulk Calculator'!J58/SQRT('Bulk Calculator'!S58)/1000,"")</f>
        <v>47.963658117370493</v>
      </c>
      <c r="L654">
        <f>IF(OR('Bulk Calculator'!R58="",'Bulk Calculator'!S58="",G654=""),0,IF(K654&gt;='Bulk Calculator'!R58,1,0))</f>
        <v>1</v>
      </c>
      <c r="M654">
        <f>IF(AND(H654=1,I654&lt;='OS-DORAEN'!$B$6,J654&lt;='OS-DORAEN'!$B$5,L654=1),1,0)</f>
        <v>1</v>
      </c>
      <c r="N654" t="str">
        <f t="shared" si="10"/>
        <v>R/X</v>
      </c>
    </row>
    <row r="655" spans="1:14" ht="15" customHeight="1" x14ac:dyDescent="0.35">
      <c r="A655">
        <v>58</v>
      </c>
      <c r="B655">
        <v>120</v>
      </c>
      <c r="C655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Master'!$F:$F,B655),"")</f>
        <v>257</v>
      </c>
      <c r="D655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Master'!$F:$F,B655),"")</f>
        <v>0.32500000000000001</v>
      </c>
      <c r="E655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Master'!$F:$F,B655),"")</f>
        <v>0.32500000000000001</v>
      </c>
      <c r="F655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Master'!$F:$F,B655),"")</f>
        <v>7.1999999999999995E-2</v>
      </c>
      <c r="G655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Master'!$F:$F,B655),"")</f>
        <v>143</v>
      </c>
      <c r="H655">
        <f>IF(AND(ISNUMBER(C655),C655&gt;='Bulk Calculator'!U58/('Bulk Calculator'!J58*'Bulk Calculator'!L58)),1,0)</f>
        <v>1</v>
      </c>
      <c r="I655">
        <f>IFERROR(IF(AND(ISNUMBER(E655),ISNUMBER(F655),E655&gt;0,F655&gt;0),SQRT(3)*'Bulk Calculator'!O58*'Bulk Calculator'!AA58*((E655*'Bulk Calculator'!Q58)+(F655*SQRT(1-'Bulk Calculator'!Q58^2)))/'Bulk Calculator'!J58/'Bulk Calculator'!K58*100,D655*'Bulk Calculator'!AA58*'Bulk Calculator'!O58/'Bulk Calculator'!J58/'Bulk Calculator'!K58*100),"")</f>
        <v>0</v>
      </c>
      <c r="J655">
        <f>IFERROR(IF(AND(ISNUMBER(E655),ISNUMBER(F655),E655&gt;0,F655&gt;0),SQRT(3)*'Bulk Calculator'!O58*'Bulk Calculator'!U58*((E655*'Bulk Calculator'!M58)+(F655*SQRT(1-'Bulk Calculator'!M58^2)))/'Bulk Calculator'!J58/'Bulk Calculator'!K58*100,D655*'Bulk Calculator'!U58*'Bulk Calculator'!O58/'Bulk Calculator'!J58/'Bulk Calculator'!K58*100),"")</f>
        <v>0</v>
      </c>
      <c r="K655">
        <f>IFERROR(G655*B655*'Bulk Calculator'!J58/SQRT('Bulk Calculator'!S58)/1000,"")</f>
        <v>38.370926493896391</v>
      </c>
      <c r="L655">
        <f>IF(OR('Bulk Calculator'!R58="",'Bulk Calculator'!S58="",G655=""),0,IF(K655&gt;='Bulk Calculator'!R58,1,0))</f>
        <v>1</v>
      </c>
      <c r="M655">
        <f>IF(AND(H655=1,I655&lt;='OS-DORAEN'!$B$6,J655&lt;='OS-DORAEN'!$B$5,L655=1),1,0)</f>
        <v>1</v>
      </c>
      <c r="N655" t="str">
        <f t="shared" si="10"/>
        <v>R/X</v>
      </c>
    </row>
    <row r="656" spans="1:14" ht="15" customHeight="1" x14ac:dyDescent="0.35">
      <c r="A656">
        <v>58</v>
      </c>
      <c r="B656">
        <v>95</v>
      </c>
      <c r="C656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Master'!$F:$F,B656),"")</f>
        <v>221</v>
      </c>
      <c r="D656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Master'!$F:$F,B656),"")</f>
        <v>0.41</v>
      </c>
      <c r="E656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Master'!$F:$F,B656),"")</f>
        <v>0.41</v>
      </c>
      <c r="F656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Master'!$F:$F,B656),"")</f>
        <v>7.3999999999999996E-2</v>
      </c>
      <c r="G656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Master'!$F:$F,B656),"")</f>
        <v>143</v>
      </c>
      <c r="H656">
        <f>IF(AND(ISNUMBER(C656),C656&gt;='Bulk Calculator'!U58/('Bulk Calculator'!J58*'Bulk Calculator'!L58)),1,0)</f>
        <v>1</v>
      </c>
      <c r="I656">
        <f>IFERROR(IF(AND(ISNUMBER(E656),ISNUMBER(F656),E656&gt;0,F656&gt;0),SQRT(3)*'Bulk Calculator'!O58*'Bulk Calculator'!AA58*((E656*'Bulk Calculator'!Q58)+(F656*SQRT(1-'Bulk Calculator'!Q58^2)))/'Bulk Calculator'!J58/'Bulk Calculator'!K58*100,D656*'Bulk Calculator'!AA58*'Bulk Calculator'!O58/'Bulk Calculator'!J58/'Bulk Calculator'!K58*100),"")</f>
        <v>0</v>
      </c>
      <c r="J656">
        <f>IFERROR(IF(AND(ISNUMBER(E656),ISNUMBER(F656),E656&gt;0,F656&gt;0),SQRT(3)*'Bulk Calculator'!O58*'Bulk Calculator'!U58*((E656*'Bulk Calculator'!M58)+(F656*SQRT(1-'Bulk Calculator'!M58^2)))/'Bulk Calculator'!J58/'Bulk Calculator'!K58*100,D656*'Bulk Calculator'!U58*'Bulk Calculator'!O58/'Bulk Calculator'!J58/'Bulk Calculator'!K58*100),"")</f>
        <v>0</v>
      </c>
      <c r="K656">
        <f>IFERROR(G656*B656*'Bulk Calculator'!J58/SQRT('Bulk Calculator'!S58)/1000,"")</f>
        <v>30.376983474334644</v>
      </c>
      <c r="L656">
        <f>IF(OR('Bulk Calculator'!R58="",'Bulk Calculator'!S58="",G656=""),0,IF(K656&gt;='Bulk Calculator'!R58,1,0))</f>
        <v>1</v>
      </c>
      <c r="M656">
        <f>IF(AND(H656=1,I656&lt;='OS-DORAEN'!$B$6,J656&lt;='OS-DORAEN'!$B$5,L656=1),1,0)</f>
        <v>1</v>
      </c>
      <c r="N656" t="str">
        <f t="shared" si="10"/>
        <v>R/X</v>
      </c>
    </row>
    <row r="657" spans="1:14" ht="15" customHeight="1" x14ac:dyDescent="0.35">
      <c r="A657">
        <v>58</v>
      </c>
      <c r="B657">
        <v>70</v>
      </c>
      <c r="C657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Master'!$F:$F,B657),"")</f>
        <v>179</v>
      </c>
      <c r="D657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Master'!$F:$F,B657),"")</f>
        <v>0.56699999999999995</v>
      </c>
      <c r="E657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Master'!$F:$F,B657),"")</f>
        <v>0.56699999999999995</v>
      </c>
      <c r="F657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Master'!$F:$F,B657),"")</f>
        <v>7.6999999999999999E-2</v>
      </c>
      <c r="G657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Master'!$F:$F,B657),"")</f>
        <v>143</v>
      </c>
      <c r="H657">
        <f>IF(AND(ISNUMBER(C657),C657&gt;='Bulk Calculator'!U58/('Bulk Calculator'!J58*'Bulk Calculator'!L58)),1,0)</f>
        <v>1</v>
      </c>
      <c r="I657">
        <f>IFERROR(IF(AND(ISNUMBER(E657),ISNUMBER(F657),E657&gt;0,F657&gt;0),SQRT(3)*'Bulk Calculator'!O58*'Bulk Calculator'!AA58*((E657*'Bulk Calculator'!Q58)+(F657*SQRT(1-'Bulk Calculator'!Q58^2)))/'Bulk Calculator'!J58/'Bulk Calculator'!K58*100,D657*'Bulk Calculator'!AA58*'Bulk Calculator'!O58/'Bulk Calculator'!J58/'Bulk Calculator'!K58*100),"")</f>
        <v>0</v>
      </c>
      <c r="J657">
        <f>IFERROR(IF(AND(ISNUMBER(E657),ISNUMBER(F657),E657&gt;0,F657&gt;0),SQRT(3)*'Bulk Calculator'!O58*'Bulk Calculator'!U58*((E657*'Bulk Calculator'!M58)+(F657*SQRT(1-'Bulk Calculator'!M58^2)))/'Bulk Calculator'!J58/'Bulk Calculator'!K58*100,D657*'Bulk Calculator'!U58*'Bulk Calculator'!O58/'Bulk Calculator'!J58/'Bulk Calculator'!K58*100),"")</f>
        <v>0</v>
      </c>
      <c r="K657">
        <f>IFERROR(G657*B657*'Bulk Calculator'!J58/SQRT('Bulk Calculator'!S58)/1000,"")</f>
        <v>22.383040454772893</v>
      </c>
      <c r="L657">
        <f>IF(OR('Bulk Calculator'!R58="",'Bulk Calculator'!S58="",G657=""),0,IF(K657&gt;='Bulk Calculator'!R58,1,0))</f>
        <v>1</v>
      </c>
      <c r="M657">
        <f>IF(AND(H657=1,I657&lt;='OS-DORAEN'!$B$6,J657&lt;='OS-DORAEN'!$B$5,L657=1),1,0)</f>
        <v>1</v>
      </c>
      <c r="N657" t="str">
        <f t="shared" si="10"/>
        <v>R/X</v>
      </c>
    </row>
    <row r="658" spans="1:14" ht="15" customHeight="1" x14ac:dyDescent="0.35">
      <c r="A658">
        <v>58</v>
      </c>
      <c r="B658">
        <v>50</v>
      </c>
      <c r="C658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Master'!$F:$F,B658),"")</f>
        <v>142</v>
      </c>
      <c r="D658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Master'!$F:$F,B658),"")</f>
        <v>0.82</v>
      </c>
      <c r="E658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Master'!$F:$F,B658),"")</f>
        <v>0.82</v>
      </c>
      <c r="F658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Master'!$F:$F,B658),"")</f>
        <v>7.8E-2</v>
      </c>
      <c r="G658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Master'!$F:$F,B658),"")</f>
        <v>143</v>
      </c>
      <c r="H658">
        <f>IF(AND(ISNUMBER(C658),C658&gt;='Bulk Calculator'!U58/('Bulk Calculator'!J58*'Bulk Calculator'!L58)),1,0)</f>
        <v>1</v>
      </c>
      <c r="I658">
        <f>IFERROR(IF(AND(ISNUMBER(E658),ISNUMBER(F658),E658&gt;0,F658&gt;0),SQRT(3)*'Bulk Calculator'!O58*'Bulk Calculator'!AA58*((E658*'Bulk Calculator'!Q58)+(F658*SQRT(1-'Bulk Calculator'!Q58^2)))/'Bulk Calculator'!J58/'Bulk Calculator'!K58*100,D658*'Bulk Calculator'!AA58*'Bulk Calculator'!O58/'Bulk Calculator'!J58/'Bulk Calculator'!K58*100),"")</f>
        <v>0</v>
      </c>
      <c r="J658">
        <f>IFERROR(IF(AND(ISNUMBER(E658),ISNUMBER(F658),E658&gt;0,F658&gt;0),SQRT(3)*'Bulk Calculator'!O58*'Bulk Calculator'!U58*((E658*'Bulk Calculator'!M58)+(F658*SQRT(1-'Bulk Calculator'!M58^2)))/'Bulk Calculator'!J58/'Bulk Calculator'!K58*100,D658*'Bulk Calculator'!U58*'Bulk Calculator'!O58/'Bulk Calculator'!J58/'Bulk Calculator'!K58*100),"")</f>
        <v>0</v>
      </c>
      <c r="K658">
        <f>IFERROR(G658*B658*'Bulk Calculator'!J58/SQRT('Bulk Calculator'!S58)/1000,"")</f>
        <v>15.987886039123497</v>
      </c>
      <c r="L658">
        <f>IF(OR('Bulk Calculator'!R58="",'Bulk Calculator'!S58="",G658=""),0,IF(K658&gt;='Bulk Calculator'!R58,1,0))</f>
        <v>1</v>
      </c>
      <c r="M658">
        <f>IF(AND(H658=1,I658&lt;='OS-DORAEN'!$B$6,J658&lt;='OS-DORAEN'!$B$5,L658=1),1,0)</f>
        <v>1</v>
      </c>
      <c r="N658" t="str">
        <f t="shared" si="10"/>
        <v>R/X</v>
      </c>
    </row>
    <row r="659" spans="1:14" ht="15" customHeight="1" x14ac:dyDescent="0.35">
      <c r="A659">
        <v>58</v>
      </c>
      <c r="B659">
        <v>35</v>
      </c>
      <c r="C659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Master'!$F:$F,B659),"")</f>
        <v>117</v>
      </c>
      <c r="D659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Master'!$F:$F,B659),"")</f>
        <v>1.1100000000000001</v>
      </c>
      <c r="E659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Master'!$F:$F,B659),"")</f>
        <v>1.1100000000000001</v>
      </c>
      <c r="F659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Master'!$F:$F,B659),"")</f>
        <v>0.08</v>
      </c>
      <c r="G659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Master'!$F:$F,B659),"")</f>
        <v>143</v>
      </c>
      <c r="H659">
        <f>IF(AND(ISNUMBER(C659),C659&gt;='Bulk Calculator'!U58/('Bulk Calculator'!J58*'Bulk Calculator'!L58)),1,0)</f>
        <v>1</v>
      </c>
      <c r="I659">
        <f>IFERROR(IF(AND(ISNUMBER(E659),ISNUMBER(F659),E659&gt;0,F659&gt;0),SQRT(3)*'Bulk Calculator'!O58*'Bulk Calculator'!AA58*((E659*'Bulk Calculator'!Q58)+(F659*SQRT(1-'Bulk Calculator'!Q58^2)))/'Bulk Calculator'!J58/'Bulk Calculator'!K58*100,D659*'Bulk Calculator'!AA58*'Bulk Calculator'!O58/'Bulk Calculator'!J58/'Bulk Calculator'!K58*100),"")</f>
        <v>0</v>
      </c>
      <c r="J659">
        <f>IFERROR(IF(AND(ISNUMBER(E659),ISNUMBER(F659),E659&gt;0,F659&gt;0),SQRT(3)*'Bulk Calculator'!O58*'Bulk Calculator'!U58*((E659*'Bulk Calculator'!M58)+(F659*SQRT(1-'Bulk Calculator'!M58^2)))/'Bulk Calculator'!J58/'Bulk Calculator'!K58*100,D659*'Bulk Calculator'!U58*'Bulk Calculator'!O58/'Bulk Calculator'!J58/'Bulk Calculator'!K58*100),"")</f>
        <v>0</v>
      </c>
      <c r="K659">
        <f>IFERROR(G659*B659*'Bulk Calculator'!J58/SQRT('Bulk Calculator'!S58)/1000,"")</f>
        <v>11.191520227386446</v>
      </c>
      <c r="L659">
        <f>IF(OR('Bulk Calculator'!R58="",'Bulk Calculator'!S58="",G659=""),0,IF(K659&gt;='Bulk Calculator'!R58,1,0))</f>
        <v>1</v>
      </c>
      <c r="M659">
        <f>IF(AND(H659=1,I659&lt;='OS-DORAEN'!$B$6,J659&lt;='OS-DORAEN'!$B$5,L659=1),1,0)</f>
        <v>1</v>
      </c>
      <c r="N659" t="str">
        <f t="shared" si="10"/>
        <v>R/X</v>
      </c>
    </row>
    <row r="660" spans="1:14" ht="15" customHeight="1" x14ac:dyDescent="0.35">
      <c r="A660">
        <v>58</v>
      </c>
      <c r="B660">
        <v>25</v>
      </c>
      <c r="C660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Master'!$F:$F,B660),"")</f>
        <v>96</v>
      </c>
      <c r="D660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Master'!$F:$F,B660),"")</f>
        <v>1.54</v>
      </c>
      <c r="E660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Master'!$F:$F,B660),"")</f>
        <v>1.54</v>
      </c>
      <c r="F660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Master'!$F:$F,B660),"")</f>
        <v>0.08</v>
      </c>
      <c r="G660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Master'!$F:$F,B660),"")</f>
        <v>143</v>
      </c>
      <c r="H660">
        <f>IF(AND(ISNUMBER(C660),C660&gt;='Bulk Calculator'!U58/('Bulk Calculator'!J58*'Bulk Calculator'!L58)),1,0)</f>
        <v>1</v>
      </c>
      <c r="I660">
        <f>IFERROR(IF(AND(ISNUMBER(E660),ISNUMBER(F660),E660&gt;0,F660&gt;0),SQRT(3)*'Bulk Calculator'!O58*'Bulk Calculator'!AA58*((E660*'Bulk Calculator'!Q58)+(F660*SQRT(1-'Bulk Calculator'!Q58^2)))/'Bulk Calculator'!J58/'Bulk Calculator'!K58*100,D660*'Bulk Calculator'!AA58*'Bulk Calculator'!O58/'Bulk Calculator'!J58/'Bulk Calculator'!K58*100),"")</f>
        <v>0</v>
      </c>
      <c r="J660">
        <f>IFERROR(IF(AND(ISNUMBER(E660),ISNUMBER(F660),E660&gt;0,F660&gt;0),SQRT(3)*'Bulk Calculator'!O58*'Bulk Calculator'!U58*((E660*'Bulk Calculator'!M58)+(F660*SQRT(1-'Bulk Calculator'!M58^2)))/'Bulk Calculator'!J58/'Bulk Calculator'!K58*100,D660*'Bulk Calculator'!U58*'Bulk Calculator'!O58/'Bulk Calculator'!J58/'Bulk Calculator'!K58*100),"")</f>
        <v>0</v>
      </c>
      <c r="K660">
        <f>IFERROR(G660*B660*'Bulk Calculator'!J58/SQRT('Bulk Calculator'!S58)/1000,"")</f>
        <v>7.9939430195617485</v>
      </c>
      <c r="L660">
        <f>IF(OR('Bulk Calculator'!R58="",'Bulk Calculator'!S58="",G660=""),0,IF(K660&gt;='Bulk Calculator'!R58,1,0))</f>
        <v>1</v>
      </c>
      <c r="M660">
        <f>IF(AND(H660=1,I660&lt;='OS-DORAEN'!$B$6,J660&lt;='OS-DORAEN'!$B$5,L660=1),1,0)</f>
        <v>1</v>
      </c>
      <c r="N660" t="str">
        <f t="shared" si="10"/>
        <v>R/X</v>
      </c>
    </row>
    <row r="661" spans="1:14" ht="15" customHeight="1" x14ac:dyDescent="0.35">
      <c r="A661">
        <v>58</v>
      </c>
      <c r="B661">
        <v>16</v>
      </c>
      <c r="C661">
        <f>IFERROR(SUMIFS('Cable Data Master'!$G:$G,'Cable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Master'!$F:$F,B661),"")</f>
        <v>0</v>
      </c>
      <c r="D661">
        <f>IFERROR(SUMIFS('Cable Data Master'!$K:$K,'Cable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Master'!$F:$F,B661),"")</f>
        <v>0</v>
      </c>
      <c r="E661">
        <f>IFERROR(SUMIFS('Cable Data Master'!$H:$H,'Cable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Master'!$F:$F,B661),"")</f>
        <v>0</v>
      </c>
      <c r="F661">
        <f>IFERROR(SUMIFS('Cable Data Master'!$I:$I,'Cable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Master'!$F:$F,B661),"")</f>
        <v>0</v>
      </c>
      <c r="G661">
        <f>IFERROR(SUMIFS('Cable Data Master'!$J:$J,'Cable Data Master'!$A:$A,'Bulk Calculator'!$BF58,'Cable Data Master'!$B:$B,'Bulk Calculator'!$BG58,'Cable Data Master'!$C:$C,'Bulk Calculator'!$BH58,'Cable Data Master'!$D:$D,'Bulk Calculator'!$BI58,'Cable Data Master'!$E:$E,'Bulk Calculator'!$BJ58,'Cable Data Master'!$F:$F,B661),"")</f>
        <v>0</v>
      </c>
      <c r="H661">
        <f>IF(AND(ISNUMBER(C661),C661&gt;='Bulk Calculator'!U58/('Bulk Calculator'!J58*'Bulk Calculator'!L58)),1,0)</f>
        <v>1</v>
      </c>
      <c r="I661">
        <f>IFERROR(IF(AND(ISNUMBER(E661),ISNUMBER(F661),E661&gt;0,F661&gt;0),SQRT(3)*'Bulk Calculator'!O58*'Bulk Calculator'!AA58*((E661*'Bulk Calculator'!Q58)+(F661*SQRT(1-'Bulk Calculator'!Q58^2)))/'Bulk Calculator'!J58/'Bulk Calculator'!K58*100,D661*'Bulk Calculator'!AA58*'Bulk Calculator'!O58/'Bulk Calculator'!J58/'Bulk Calculator'!K58*100),"")</f>
        <v>0</v>
      </c>
      <c r="J661">
        <f>IFERROR(IF(AND(ISNUMBER(E661),ISNUMBER(F661),E661&gt;0,F661&gt;0),SQRT(3)*'Bulk Calculator'!O58*'Bulk Calculator'!U58*((E661*'Bulk Calculator'!M58)+(F661*SQRT(1-'Bulk Calculator'!M58^2)))/'Bulk Calculator'!J58/'Bulk Calculator'!K58*100,D661*'Bulk Calculator'!U58*'Bulk Calculator'!O58/'Bulk Calculator'!J58/'Bulk Calculator'!K58*100),"")</f>
        <v>0</v>
      </c>
      <c r="K661">
        <f>IFERROR(G661*B661*'Bulk Calculator'!J58/SQRT('Bulk Calculator'!S58)/1000,"")</f>
        <v>0</v>
      </c>
      <c r="L661">
        <f>IF(OR('Bulk Calculator'!R58="",'Bulk Calculator'!S58="",G661=""),0,IF(K661&gt;='Bulk Calculator'!R58,1,0))</f>
        <v>1</v>
      </c>
      <c r="M661">
        <f>IF(AND(H661=1,I661&lt;='OS-DORAEN'!$B$6,J661&lt;='OS-DORAEN'!$B$5,L661=1),1,0)</f>
        <v>1</v>
      </c>
      <c r="N661" t="str">
        <f t="shared" si="10"/>
        <v>Manufacturer VD Ref</v>
      </c>
    </row>
    <row r="662" spans="1:14" ht="15" customHeight="1" x14ac:dyDescent="0.35">
      <c r="A662">
        <v>59</v>
      </c>
      <c r="B662">
        <v>400</v>
      </c>
      <c r="C662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Master'!$F:$F,B662),"")</f>
        <v>530</v>
      </c>
      <c r="D662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Master'!$F:$F,B662),"")</f>
        <v>0.1023</v>
      </c>
      <c r="E662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Master'!$F:$F,B662),"")</f>
        <v>0.1023</v>
      </c>
      <c r="F662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Master'!$F:$F,B662),"")</f>
        <v>7.0000000000000007E-2</v>
      </c>
      <c r="G662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Master'!$F:$F,B662),"")</f>
        <v>143</v>
      </c>
      <c r="H662">
        <f>IF(AND(ISNUMBER(C662),C662&gt;='Bulk Calculator'!U59/('Bulk Calculator'!J59*'Bulk Calculator'!L59)),1,0)</f>
        <v>1</v>
      </c>
      <c r="I662">
        <f>IFERROR(IF(AND(ISNUMBER(E662),ISNUMBER(F662),E662&gt;0,F662&gt;0),SQRT(3)*'Bulk Calculator'!O59*'Bulk Calculator'!AA59*((E662*'Bulk Calculator'!Q59)+(F662*SQRT(1-'Bulk Calculator'!Q59^2)))/'Bulk Calculator'!J59/'Bulk Calculator'!K59*100,D662*'Bulk Calculator'!AA59*'Bulk Calculator'!O59/'Bulk Calculator'!J59/'Bulk Calculator'!K59*100),"")</f>
        <v>0</v>
      </c>
      <c r="J662">
        <f>IFERROR(IF(AND(ISNUMBER(E662),ISNUMBER(F662),E662&gt;0,F662&gt;0),SQRT(3)*'Bulk Calculator'!O59*'Bulk Calculator'!U59*((E662*'Bulk Calculator'!M59)+(F662*SQRT(1-'Bulk Calculator'!M59^2)))/'Bulk Calculator'!J59/'Bulk Calculator'!K59*100,D662*'Bulk Calculator'!U59*'Bulk Calculator'!O59/'Bulk Calculator'!J59/'Bulk Calculator'!K59*100),"")</f>
        <v>0</v>
      </c>
      <c r="K662">
        <f>IFERROR(G662*B662*'Bulk Calculator'!J59/SQRT('Bulk Calculator'!S59)/1000,"")</f>
        <v>127.90308831298798</v>
      </c>
      <c r="L662">
        <f>IF(OR('Bulk Calculator'!R59="",'Bulk Calculator'!S59="",G662=""),0,IF(K662&gt;='Bulk Calculator'!R59,1,0))</f>
        <v>1</v>
      </c>
      <c r="M662">
        <f>IF(AND(H662=1,I662&lt;='OS-DORAEN'!$B$6,J662&lt;='OS-DORAEN'!$B$5,L662=1),1,0)</f>
        <v>1</v>
      </c>
      <c r="N662" t="str">
        <f t="shared" si="10"/>
        <v>R/X</v>
      </c>
    </row>
    <row r="663" spans="1:14" ht="15" customHeight="1" x14ac:dyDescent="0.35">
      <c r="A663">
        <v>59</v>
      </c>
      <c r="B663">
        <v>300</v>
      </c>
      <c r="C663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Master'!$F:$F,B663),"")</f>
        <v>455</v>
      </c>
      <c r="D663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Master'!$F:$F,B663),"")</f>
        <v>0.13</v>
      </c>
      <c r="E663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Master'!$F:$F,B663),"")</f>
        <v>0.13</v>
      </c>
      <c r="F663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Master'!$F:$F,B663),"")</f>
        <v>7.0999999999999994E-2</v>
      </c>
      <c r="G663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Master'!$F:$F,B663),"")</f>
        <v>143</v>
      </c>
      <c r="H663">
        <f>IF(AND(ISNUMBER(C663),C663&gt;='Bulk Calculator'!U59/('Bulk Calculator'!J59*'Bulk Calculator'!L59)),1,0)</f>
        <v>1</v>
      </c>
      <c r="I663">
        <f>IFERROR(IF(AND(ISNUMBER(E663),ISNUMBER(F663),E663&gt;0,F663&gt;0),SQRT(3)*'Bulk Calculator'!O59*'Bulk Calculator'!AA59*((E663*'Bulk Calculator'!Q59)+(F663*SQRT(1-'Bulk Calculator'!Q59^2)))/'Bulk Calculator'!J59/'Bulk Calculator'!K59*100,D663*'Bulk Calculator'!AA59*'Bulk Calculator'!O59/'Bulk Calculator'!J59/'Bulk Calculator'!K59*100),"")</f>
        <v>0</v>
      </c>
      <c r="J663">
        <f>IFERROR(IF(AND(ISNUMBER(E663),ISNUMBER(F663),E663&gt;0,F663&gt;0),SQRT(3)*'Bulk Calculator'!O59*'Bulk Calculator'!U59*((E663*'Bulk Calculator'!M59)+(F663*SQRT(1-'Bulk Calculator'!M59^2)))/'Bulk Calculator'!J59/'Bulk Calculator'!K59*100,D663*'Bulk Calculator'!U59*'Bulk Calculator'!O59/'Bulk Calculator'!J59/'Bulk Calculator'!K59*100),"")</f>
        <v>0</v>
      </c>
      <c r="K663">
        <f>IFERROR(G663*B663*'Bulk Calculator'!J59/SQRT('Bulk Calculator'!S59)/1000,"")</f>
        <v>95.927316234740985</v>
      </c>
      <c r="L663">
        <f>IF(OR('Bulk Calculator'!R59="",'Bulk Calculator'!S59="",G663=""),0,IF(K663&gt;='Bulk Calculator'!R59,1,0))</f>
        <v>1</v>
      </c>
      <c r="M663">
        <f>IF(AND(H663=1,I663&lt;='OS-DORAEN'!$B$6,J663&lt;='OS-DORAEN'!$B$5,L663=1),1,0)</f>
        <v>1</v>
      </c>
      <c r="N663" t="str">
        <f t="shared" si="10"/>
        <v>R/X</v>
      </c>
    </row>
    <row r="664" spans="1:14" ht="15" customHeight="1" x14ac:dyDescent="0.35">
      <c r="A664">
        <v>59</v>
      </c>
      <c r="B664">
        <v>240</v>
      </c>
      <c r="C664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Master'!$F:$F,B664),"")</f>
        <v>399</v>
      </c>
      <c r="D664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Master'!$F:$F,B664),"")</f>
        <v>0.16200000000000001</v>
      </c>
      <c r="E664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Master'!$F:$F,B664),"")</f>
        <v>0.16200000000000001</v>
      </c>
      <c r="F664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Master'!$F:$F,B664),"")</f>
        <v>7.1999999999999995E-2</v>
      </c>
      <c r="G664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Master'!$F:$F,B664),"")</f>
        <v>143</v>
      </c>
      <c r="H664">
        <f>IF(AND(ISNUMBER(C664),C664&gt;='Bulk Calculator'!U59/('Bulk Calculator'!J59*'Bulk Calculator'!L59)),1,0)</f>
        <v>1</v>
      </c>
      <c r="I664">
        <f>IFERROR(IF(AND(ISNUMBER(E664),ISNUMBER(F664),E664&gt;0,F664&gt;0),SQRT(3)*'Bulk Calculator'!O59*'Bulk Calculator'!AA59*((E664*'Bulk Calculator'!Q59)+(F664*SQRT(1-'Bulk Calculator'!Q59^2)))/'Bulk Calculator'!J59/'Bulk Calculator'!K59*100,D664*'Bulk Calculator'!AA59*'Bulk Calculator'!O59/'Bulk Calculator'!J59/'Bulk Calculator'!K59*100),"")</f>
        <v>0</v>
      </c>
      <c r="J664">
        <f>IFERROR(IF(AND(ISNUMBER(E664),ISNUMBER(F664),E664&gt;0,F664&gt;0),SQRT(3)*'Bulk Calculator'!O59*'Bulk Calculator'!U59*((E664*'Bulk Calculator'!M59)+(F664*SQRT(1-'Bulk Calculator'!M59^2)))/'Bulk Calculator'!J59/'Bulk Calculator'!K59*100,D664*'Bulk Calculator'!U59*'Bulk Calculator'!O59/'Bulk Calculator'!J59/'Bulk Calculator'!K59*100),"")</f>
        <v>0</v>
      </c>
      <c r="K664">
        <f>IFERROR(G664*B664*'Bulk Calculator'!J59/SQRT('Bulk Calculator'!S59)/1000,"")</f>
        <v>76.741852987792782</v>
      </c>
      <c r="L664">
        <f>IF(OR('Bulk Calculator'!R59="",'Bulk Calculator'!S59="",G664=""),0,IF(K664&gt;='Bulk Calculator'!R59,1,0))</f>
        <v>1</v>
      </c>
      <c r="M664">
        <f>IF(AND(H664=1,I664&lt;='OS-DORAEN'!$B$6,J664&lt;='OS-DORAEN'!$B$5,L664=1),1,0)</f>
        <v>1</v>
      </c>
      <c r="N664" t="str">
        <f t="shared" si="10"/>
        <v>R/X</v>
      </c>
    </row>
    <row r="665" spans="1:14" ht="15" customHeight="1" x14ac:dyDescent="0.35">
      <c r="A665">
        <v>59</v>
      </c>
      <c r="B665">
        <v>185</v>
      </c>
      <c r="C665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Master'!$F:$F,B665),"")</f>
        <v>337</v>
      </c>
      <c r="D665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Master'!$F:$F,B665),"")</f>
        <v>0.21099999999999999</v>
      </c>
      <c r="E665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Master'!$F:$F,B665),"")</f>
        <v>0.21099999999999999</v>
      </c>
      <c r="F665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Master'!$F:$F,B665),"")</f>
        <v>7.1999999999999995E-2</v>
      </c>
      <c r="G665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Master'!$F:$F,B665),"")</f>
        <v>143</v>
      </c>
      <c r="H665">
        <f>IF(AND(ISNUMBER(C665),C665&gt;='Bulk Calculator'!U59/('Bulk Calculator'!J59*'Bulk Calculator'!L59)),1,0)</f>
        <v>1</v>
      </c>
      <c r="I665">
        <f>IFERROR(IF(AND(ISNUMBER(E665),ISNUMBER(F665),E665&gt;0,F665&gt;0),SQRT(3)*'Bulk Calculator'!O59*'Bulk Calculator'!AA59*((E665*'Bulk Calculator'!Q59)+(F665*SQRT(1-'Bulk Calculator'!Q59^2)))/'Bulk Calculator'!J59/'Bulk Calculator'!K59*100,D665*'Bulk Calculator'!AA59*'Bulk Calculator'!O59/'Bulk Calculator'!J59/'Bulk Calculator'!K59*100),"")</f>
        <v>0</v>
      </c>
      <c r="J665">
        <f>IFERROR(IF(AND(ISNUMBER(E665),ISNUMBER(F665),E665&gt;0,F665&gt;0),SQRT(3)*'Bulk Calculator'!O59*'Bulk Calculator'!U59*((E665*'Bulk Calculator'!M59)+(F665*SQRT(1-'Bulk Calculator'!M59^2)))/'Bulk Calculator'!J59/'Bulk Calculator'!K59*100,D665*'Bulk Calculator'!U59*'Bulk Calculator'!O59/'Bulk Calculator'!J59/'Bulk Calculator'!K59*100),"")</f>
        <v>0</v>
      </c>
      <c r="K665">
        <f>IFERROR(G665*B665*'Bulk Calculator'!J59/SQRT('Bulk Calculator'!S59)/1000,"")</f>
        <v>59.155178344756941</v>
      </c>
      <c r="L665">
        <f>IF(OR('Bulk Calculator'!R59="",'Bulk Calculator'!S59="",G665=""),0,IF(K665&gt;='Bulk Calculator'!R59,1,0))</f>
        <v>1</v>
      </c>
      <c r="M665">
        <f>IF(AND(H665=1,I665&lt;='OS-DORAEN'!$B$6,J665&lt;='OS-DORAEN'!$B$5,L665=1),1,0)</f>
        <v>1</v>
      </c>
      <c r="N665" t="str">
        <f t="shared" si="10"/>
        <v>R/X</v>
      </c>
    </row>
    <row r="666" spans="1:14" ht="15" customHeight="1" x14ac:dyDescent="0.35">
      <c r="A666">
        <v>59</v>
      </c>
      <c r="B666">
        <v>150</v>
      </c>
      <c r="C666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Master'!$F:$F,B666),"")</f>
        <v>292</v>
      </c>
      <c r="D666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Master'!$F:$F,B666),"")</f>
        <v>0.26500000000000001</v>
      </c>
      <c r="E666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Master'!$F:$F,B666),"")</f>
        <v>0.26500000000000001</v>
      </c>
      <c r="F666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Master'!$F:$F,B666),"")</f>
        <v>7.1999999999999995E-2</v>
      </c>
      <c r="G666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Master'!$F:$F,B666),"")</f>
        <v>143</v>
      </c>
      <c r="H666">
        <f>IF(AND(ISNUMBER(C666),C666&gt;='Bulk Calculator'!U59/('Bulk Calculator'!J59*'Bulk Calculator'!L59)),1,0)</f>
        <v>1</v>
      </c>
      <c r="I666">
        <f>IFERROR(IF(AND(ISNUMBER(E666),ISNUMBER(F666),E666&gt;0,F666&gt;0),SQRT(3)*'Bulk Calculator'!O59*'Bulk Calculator'!AA59*((E666*'Bulk Calculator'!Q59)+(F666*SQRT(1-'Bulk Calculator'!Q59^2)))/'Bulk Calculator'!J59/'Bulk Calculator'!K59*100,D666*'Bulk Calculator'!AA59*'Bulk Calculator'!O59/'Bulk Calculator'!J59/'Bulk Calculator'!K59*100),"")</f>
        <v>0</v>
      </c>
      <c r="J666">
        <f>IFERROR(IF(AND(ISNUMBER(E666),ISNUMBER(F666),E666&gt;0,F666&gt;0),SQRT(3)*'Bulk Calculator'!O59*'Bulk Calculator'!U59*((E666*'Bulk Calculator'!M59)+(F666*SQRT(1-'Bulk Calculator'!M59^2)))/'Bulk Calculator'!J59/'Bulk Calculator'!K59*100,D666*'Bulk Calculator'!U59*'Bulk Calculator'!O59/'Bulk Calculator'!J59/'Bulk Calculator'!K59*100),"")</f>
        <v>0</v>
      </c>
      <c r="K666">
        <f>IFERROR(G666*B666*'Bulk Calculator'!J59/SQRT('Bulk Calculator'!S59)/1000,"")</f>
        <v>47.963658117370493</v>
      </c>
      <c r="L666">
        <f>IF(OR('Bulk Calculator'!R59="",'Bulk Calculator'!S59="",G666=""),0,IF(K666&gt;='Bulk Calculator'!R59,1,0))</f>
        <v>1</v>
      </c>
      <c r="M666">
        <f>IF(AND(H666=1,I666&lt;='OS-DORAEN'!$B$6,J666&lt;='OS-DORAEN'!$B$5,L666=1),1,0)</f>
        <v>1</v>
      </c>
      <c r="N666" t="str">
        <f t="shared" si="10"/>
        <v>R/X</v>
      </c>
    </row>
    <row r="667" spans="1:14" ht="15" customHeight="1" x14ac:dyDescent="0.35">
      <c r="A667">
        <v>59</v>
      </c>
      <c r="B667">
        <v>120</v>
      </c>
      <c r="C667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Master'!$F:$F,B667),"")</f>
        <v>257</v>
      </c>
      <c r="D667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Master'!$F:$F,B667),"")</f>
        <v>0.32500000000000001</v>
      </c>
      <c r="E667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Master'!$F:$F,B667),"")</f>
        <v>0.32500000000000001</v>
      </c>
      <c r="F667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Master'!$F:$F,B667),"")</f>
        <v>7.1999999999999995E-2</v>
      </c>
      <c r="G667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Master'!$F:$F,B667),"")</f>
        <v>143</v>
      </c>
      <c r="H667">
        <f>IF(AND(ISNUMBER(C667),C667&gt;='Bulk Calculator'!U59/('Bulk Calculator'!J59*'Bulk Calculator'!L59)),1,0)</f>
        <v>1</v>
      </c>
      <c r="I667">
        <f>IFERROR(IF(AND(ISNUMBER(E667),ISNUMBER(F667),E667&gt;0,F667&gt;0),SQRT(3)*'Bulk Calculator'!O59*'Bulk Calculator'!AA59*((E667*'Bulk Calculator'!Q59)+(F667*SQRT(1-'Bulk Calculator'!Q59^2)))/'Bulk Calculator'!J59/'Bulk Calculator'!K59*100,D667*'Bulk Calculator'!AA59*'Bulk Calculator'!O59/'Bulk Calculator'!J59/'Bulk Calculator'!K59*100),"")</f>
        <v>0</v>
      </c>
      <c r="J667">
        <f>IFERROR(IF(AND(ISNUMBER(E667),ISNUMBER(F667),E667&gt;0,F667&gt;0),SQRT(3)*'Bulk Calculator'!O59*'Bulk Calculator'!U59*((E667*'Bulk Calculator'!M59)+(F667*SQRT(1-'Bulk Calculator'!M59^2)))/'Bulk Calculator'!J59/'Bulk Calculator'!K59*100,D667*'Bulk Calculator'!U59*'Bulk Calculator'!O59/'Bulk Calculator'!J59/'Bulk Calculator'!K59*100),"")</f>
        <v>0</v>
      </c>
      <c r="K667">
        <f>IFERROR(G667*B667*'Bulk Calculator'!J59/SQRT('Bulk Calculator'!S59)/1000,"")</f>
        <v>38.370926493896391</v>
      </c>
      <c r="L667">
        <f>IF(OR('Bulk Calculator'!R59="",'Bulk Calculator'!S59="",G667=""),0,IF(K667&gt;='Bulk Calculator'!R59,1,0))</f>
        <v>1</v>
      </c>
      <c r="M667">
        <f>IF(AND(H667=1,I667&lt;='OS-DORAEN'!$B$6,J667&lt;='OS-DORAEN'!$B$5,L667=1),1,0)</f>
        <v>1</v>
      </c>
      <c r="N667" t="str">
        <f t="shared" si="10"/>
        <v>R/X</v>
      </c>
    </row>
    <row r="668" spans="1:14" ht="15" customHeight="1" x14ac:dyDescent="0.35">
      <c r="A668">
        <v>59</v>
      </c>
      <c r="B668">
        <v>95</v>
      </c>
      <c r="C668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Master'!$F:$F,B668),"")</f>
        <v>221</v>
      </c>
      <c r="D668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Master'!$F:$F,B668),"")</f>
        <v>0.41</v>
      </c>
      <c r="E668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Master'!$F:$F,B668),"")</f>
        <v>0.41</v>
      </c>
      <c r="F668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Master'!$F:$F,B668),"")</f>
        <v>7.3999999999999996E-2</v>
      </c>
      <c r="G668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Master'!$F:$F,B668),"")</f>
        <v>143</v>
      </c>
      <c r="H668">
        <f>IF(AND(ISNUMBER(C668),C668&gt;='Bulk Calculator'!U59/('Bulk Calculator'!J59*'Bulk Calculator'!L59)),1,0)</f>
        <v>1</v>
      </c>
      <c r="I668">
        <f>IFERROR(IF(AND(ISNUMBER(E668),ISNUMBER(F668),E668&gt;0,F668&gt;0),SQRT(3)*'Bulk Calculator'!O59*'Bulk Calculator'!AA59*((E668*'Bulk Calculator'!Q59)+(F668*SQRT(1-'Bulk Calculator'!Q59^2)))/'Bulk Calculator'!J59/'Bulk Calculator'!K59*100,D668*'Bulk Calculator'!AA59*'Bulk Calculator'!O59/'Bulk Calculator'!J59/'Bulk Calculator'!K59*100),"")</f>
        <v>0</v>
      </c>
      <c r="J668">
        <f>IFERROR(IF(AND(ISNUMBER(E668),ISNUMBER(F668),E668&gt;0,F668&gt;0),SQRT(3)*'Bulk Calculator'!O59*'Bulk Calculator'!U59*((E668*'Bulk Calculator'!M59)+(F668*SQRT(1-'Bulk Calculator'!M59^2)))/'Bulk Calculator'!J59/'Bulk Calculator'!K59*100,D668*'Bulk Calculator'!U59*'Bulk Calculator'!O59/'Bulk Calculator'!J59/'Bulk Calculator'!K59*100),"")</f>
        <v>0</v>
      </c>
      <c r="K668">
        <f>IFERROR(G668*B668*'Bulk Calculator'!J59/SQRT('Bulk Calculator'!S59)/1000,"")</f>
        <v>30.376983474334644</v>
      </c>
      <c r="L668">
        <f>IF(OR('Bulk Calculator'!R59="",'Bulk Calculator'!S59="",G668=""),0,IF(K668&gt;='Bulk Calculator'!R59,1,0))</f>
        <v>1</v>
      </c>
      <c r="M668">
        <f>IF(AND(H668=1,I668&lt;='OS-DORAEN'!$B$6,J668&lt;='OS-DORAEN'!$B$5,L668=1),1,0)</f>
        <v>1</v>
      </c>
      <c r="N668" t="str">
        <f t="shared" si="10"/>
        <v>R/X</v>
      </c>
    </row>
    <row r="669" spans="1:14" ht="15" customHeight="1" x14ac:dyDescent="0.35">
      <c r="A669">
        <v>59</v>
      </c>
      <c r="B669">
        <v>70</v>
      </c>
      <c r="C669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Master'!$F:$F,B669),"")</f>
        <v>179</v>
      </c>
      <c r="D669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Master'!$F:$F,B669),"")</f>
        <v>0.56699999999999995</v>
      </c>
      <c r="E669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Master'!$F:$F,B669),"")</f>
        <v>0.56699999999999995</v>
      </c>
      <c r="F669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Master'!$F:$F,B669),"")</f>
        <v>7.6999999999999999E-2</v>
      </c>
      <c r="G669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Master'!$F:$F,B669),"")</f>
        <v>143</v>
      </c>
      <c r="H669">
        <f>IF(AND(ISNUMBER(C669),C669&gt;='Bulk Calculator'!U59/('Bulk Calculator'!J59*'Bulk Calculator'!L59)),1,0)</f>
        <v>1</v>
      </c>
      <c r="I669">
        <f>IFERROR(IF(AND(ISNUMBER(E669),ISNUMBER(F669),E669&gt;0,F669&gt;0),SQRT(3)*'Bulk Calculator'!O59*'Bulk Calculator'!AA59*((E669*'Bulk Calculator'!Q59)+(F669*SQRT(1-'Bulk Calculator'!Q59^2)))/'Bulk Calculator'!J59/'Bulk Calculator'!K59*100,D669*'Bulk Calculator'!AA59*'Bulk Calculator'!O59/'Bulk Calculator'!J59/'Bulk Calculator'!K59*100),"")</f>
        <v>0</v>
      </c>
      <c r="J669">
        <f>IFERROR(IF(AND(ISNUMBER(E669),ISNUMBER(F669),E669&gt;0,F669&gt;0),SQRT(3)*'Bulk Calculator'!O59*'Bulk Calculator'!U59*((E669*'Bulk Calculator'!M59)+(F669*SQRT(1-'Bulk Calculator'!M59^2)))/'Bulk Calculator'!J59/'Bulk Calculator'!K59*100,D669*'Bulk Calculator'!U59*'Bulk Calculator'!O59/'Bulk Calculator'!J59/'Bulk Calculator'!K59*100),"")</f>
        <v>0</v>
      </c>
      <c r="K669">
        <f>IFERROR(G669*B669*'Bulk Calculator'!J59/SQRT('Bulk Calculator'!S59)/1000,"")</f>
        <v>22.383040454772893</v>
      </c>
      <c r="L669">
        <f>IF(OR('Bulk Calculator'!R59="",'Bulk Calculator'!S59="",G669=""),0,IF(K669&gt;='Bulk Calculator'!R59,1,0))</f>
        <v>1</v>
      </c>
      <c r="M669">
        <f>IF(AND(H669=1,I669&lt;='OS-DORAEN'!$B$6,J669&lt;='OS-DORAEN'!$B$5,L669=1),1,0)</f>
        <v>1</v>
      </c>
      <c r="N669" t="str">
        <f t="shared" si="10"/>
        <v>R/X</v>
      </c>
    </row>
    <row r="670" spans="1:14" ht="15" customHeight="1" x14ac:dyDescent="0.35">
      <c r="A670">
        <v>59</v>
      </c>
      <c r="B670">
        <v>50</v>
      </c>
      <c r="C670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Master'!$F:$F,B670),"")</f>
        <v>142</v>
      </c>
      <c r="D670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Master'!$F:$F,B670),"")</f>
        <v>0.82</v>
      </c>
      <c r="E670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Master'!$F:$F,B670),"")</f>
        <v>0.82</v>
      </c>
      <c r="F670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Master'!$F:$F,B670),"")</f>
        <v>7.8E-2</v>
      </c>
      <c r="G670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Master'!$F:$F,B670),"")</f>
        <v>143</v>
      </c>
      <c r="H670">
        <f>IF(AND(ISNUMBER(C670),C670&gt;='Bulk Calculator'!U59/('Bulk Calculator'!J59*'Bulk Calculator'!L59)),1,0)</f>
        <v>1</v>
      </c>
      <c r="I670">
        <f>IFERROR(IF(AND(ISNUMBER(E670),ISNUMBER(F670),E670&gt;0,F670&gt;0),SQRT(3)*'Bulk Calculator'!O59*'Bulk Calculator'!AA59*((E670*'Bulk Calculator'!Q59)+(F670*SQRT(1-'Bulk Calculator'!Q59^2)))/'Bulk Calculator'!J59/'Bulk Calculator'!K59*100,D670*'Bulk Calculator'!AA59*'Bulk Calculator'!O59/'Bulk Calculator'!J59/'Bulk Calculator'!K59*100),"")</f>
        <v>0</v>
      </c>
      <c r="J670">
        <f>IFERROR(IF(AND(ISNUMBER(E670),ISNUMBER(F670),E670&gt;0,F670&gt;0),SQRT(3)*'Bulk Calculator'!O59*'Bulk Calculator'!U59*((E670*'Bulk Calculator'!M59)+(F670*SQRT(1-'Bulk Calculator'!M59^2)))/'Bulk Calculator'!J59/'Bulk Calculator'!K59*100,D670*'Bulk Calculator'!U59*'Bulk Calculator'!O59/'Bulk Calculator'!J59/'Bulk Calculator'!K59*100),"")</f>
        <v>0</v>
      </c>
      <c r="K670">
        <f>IFERROR(G670*B670*'Bulk Calculator'!J59/SQRT('Bulk Calculator'!S59)/1000,"")</f>
        <v>15.987886039123497</v>
      </c>
      <c r="L670">
        <f>IF(OR('Bulk Calculator'!R59="",'Bulk Calculator'!S59="",G670=""),0,IF(K670&gt;='Bulk Calculator'!R59,1,0))</f>
        <v>1</v>
      </c>
      <c r="M670">
        <f>IF(AND(H670=1,I670&lt;='OS-DORAEN'!$B$6,J670&lt;='OS-DORAEN'!$B$5,L670=1),1,0)</f>
        <v>1</v>
      </c>
      <c r="N670" t="str">
        <f t="shared" si="10"/>
        <v>R/X</v>
      </c>
    </row>
    <row r="671" spans="1:14" ht="15" customHeight="1" x14ac:dyDescent="0.35">
      <c r="A671">
        <v>59</v>
      </c>
      <c r="B671">
        <v>35</v>
      </c>
      <c r="C671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Master'!$F:$F,B671),"")</f>
        <v>117</v>
      </c>
      <c r="D671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Master'!$F:$F,B671),"")</f>
        <v>1.1100000000000001</v>
      </c>
      <c r="E671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Master'!$F:$F,B671),"")</f>
        <v>1.1100000000000001</v>
      </c>
      <c r="F671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Master'!$F:$F,B671),"")</f>
        <v>0.08</v>
      </c>
      <c r="G671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Master'!$F:$F,B671),"")</f>
        <v>143</v>
      </c>
      <c r="H671">
        <f>IF(AND(ISNUMBER(C671),C671&gt;='Bulk Calculator'!U59/('Bulk Calculator'!J59*'Bulk Calculator'!L59)),1,0)</f>
        <v>1</v>
      </c>
      <c r="I671">
        <f>IFERROR(IF(AND(ISNUMBER(E671),ISNUMBER(F671),E671&gt;0,F671&gt;0),SQRT(3)*'Bulk Calculator'!O59*'Bulk Calculator'!AA59*((E671*'Bulk Calculator'!Q59)+(F671*SQRT(1-'Bulk Calculator'!Q59^2)))/'Bulk Calculator'!J59/'Bulk Calculator'!K59*100,D671*'Bulk Calculator'!AA59*'Bulk Calculator'!O59/'Bulk Calculator'!J59/'Bulk Calculator'!K59*100),"")</f>
        <v>0</v>
      </c>
      <c r="J671">
        <f>IFERROR(IF(AND(ISNUMBER(E671),ISNUMBER(F671),E671&gt;0,F671&gt;0),SQRT(3)*'Bulk Calculator'!O59*'Bulk Calculator'!U59*((E671*'Bulk Calculator'!M59)+(F671*SQRT(1-'Bulk Calculator'!M59^2)))/'Bulk Calculator'!J59/'Bulk Calculator'!K59*100,D671*'Bulk Calculator'!U59*'Bulk Calculator'!O59/'Bulk Calculator'!J59/'Bulk Calculator'!K59*100),"")</f>
        <v>0</v>
      </c>
      <c r="K671">
        <f>IFERROR(G671*B671*'Bulk Calculator'!J59/SQRT('Bulk Calculator'!S59)/1000,"")</f>
        <v>11.191520227386446</v>
      </c>
      <c r="L671">
        <f>IF(OR('Bulk Calculator'!R59="",'Bulk Calculator'!S59="",G671=""),0,IF(K671&gt;='Bulk Calculator'!R59,1,0))</f>
        <v>1</v>
      </c>
      <c r="M671">
        <f>IF(AND(H671=1,I671&lt;='OS-DORAEN'!$B$6,J671&lt;='OS-DORAEN'!$B$5,L671=1),1,0)</f>
        <v>1</v>
      </c>
      <c r="N671" t="str">
        <f t="shared" si="10"/>
        <v>R/X</v>
      </c>
    </row>
    <row r="672" spans="1:14" ht="15" customHeight="1" x14ac:dyDescent="0.35">
      <c r="A672">
        <v>59</v>
      </c>
      <c r="B672">
        <v>25</v>
      </c>
      <c r="C672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Master'!$F:$F,B672),"")</f>
        <v>96</v>
      </c>
      <c r="D672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Master'!$F:$F,B672),"")</f>
        <v>1.54</v>
      </c>
      <c r="E672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Master'!$F:$F,B672),"")</f>
        <v>1.54</v>
      </c>
      <c r="F672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Master'!$F:$F,B672),"")</f>
        <v>0.08</v>
      </c>
      <c r="G672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Master'!$F:$F,B672),"")</f>
        <v>143</v>
      </c>
      <c r="H672">
        <f>IF(AND(ISNUMBER(C672),C672&gt;='Bulk Calculator'!U59/('Bulk Calculator'!J59*'Bulk Calculator'!L59)),1,0)</f>
        <v>1</v>
      </c>
      <c r="I672">
        <f>IFERROR(IF(AND(ISNUMBER(E672),ISNUMBER(F672),E672&gt;0,F672&gt;0),SQRT(3)*'Bulk Calculator'!O59*'Bulk Calculator'!AA59*((E672*'Bulk Calculator'!Q59)+(F672*SQRT(1-'Bulk Calculator'!Q59^2)))/'Bulk Calculator'!J59/'Bulk Calculator'!K59*100,D672*'Bulk Calculator'!AA59*'Bulk Calculator'!O59/'Bulk Calculator'!J59/'Bulk Calculator'!K59*100),"")</f>
        <v>0</v>
      </c>
      <c r="J672">
        <f>IFERROR(IF(AND(ISNUMBER(E672),ISNUMBER(F672),E672&gt;0,F672&gt;0),SQRT(3)*'Bulk Calculator'!O59*'Bulk Calculator'!U59*((E672*'Bulk Calculator'!M59)+(F672*SQRT(1-'Bulk Calculator'!M59^2)))/'Bulk Calculator'!J59/'Bulk Calculator'!K59*100,D672*'Bulk Calculator'!U59*'Bulk Calculator'!O59/'Bulk Calculator'!J59/'Bulk Calculator'!K59*100),"")</f>
        <v>0</v>
      </c>
      <c r="K672">
        <f>IFERROR(G672*B672*'Bulk Calculator'!J59/SQRT('Bulk Calculator'!S59)/1000,"")</f>
        <v>7.9939430195617485</v>
      </c>
      <c r="L672">
        <f>IF(OR('Bulk Calculator'!R59="",'Bulk Calculator'!S59="",G672=""),0,IF(K672&gt;='Bulk Calculator'!R59,1,0))</f>
        <v>1</v>
      </c>
      <c r="M672">
        <f>IF(AND(H672=1,I672&lt;='OS-DORAEN'!$B$6,J672&lt;='OS-DORAEN'!$B$5,L672=1),1,0)</f>
        <v>1</v>
      </c>
      <c r="N672" t="str">
        <f t="shared" si="10"/>
        <v>R/X</v>
      </c>
    </row>
    <row r="673" spans="1:14" ht="15" customHeight="1" x14ac:dyDescent="0.35">
      <c r="A673">
        <v>59</v>
      </c>
      <c r="B673">
        <v>16</v>
      </c>
      <c r="C673">
        <f>IFERROR(SUMIFS('Cable Data Master'!$G:$G,'Cable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Master'!$F:$F,B673),"")</f>
        <v>0</v>
      </c>
      <c r="D673">
        <f>IFERROR(SUMIFS('Cable Data Master'!$K:$K,'Cable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Master'!$F:$F,B673),"")</f>
        <v>0</v>
      </c>
      <c r="E673">
        <f>IFERROR(SUMIFS('Cable Data Master'!$H:$H,'Cable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Master'!$F:$F,B673),"")</f>
        <v>0</v>
      </c>
      <c r="F673">
        <f>IFERROR(SUMIFS('Cable Data Master'!$I:$I,'Cable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Master'!$F:$F,B673),"")</f>
        <v>0</v>
      </c>
      <c r="G673">
        <f>IFERROR(SUMIFS('Cable Data Master'!$J:$J,'Cable Data Master'!$A:$A,'Bulk Calculator'!$BF59,'Cable Data Master'!$B:$B,'Bulk Calculator'!$BG59,'Cable Data Master'!$C:$C,'Bulk Calculator'!$BH59,'Cable Data Master'!$D:$D,'Bulk Calculator'!$BI59,'Cable Data Master'!$E:$E,'Bulk Calculator'!$BJ59,'Cable Data Master'!$F:$F,B673),"")</f>
        <v>0</v>
      </c>
      <c r="H673">
        <f>IF(AND(ISNUMBER(C673),C673&gt;='Bulk Calculator'!U59/('Bulk Calculator'!J59*'Bulk Calculator'!L59)),1,0)</f>
        <v>1</v>
      </c>
      <c r="I673">
        <f>IFERROR(IF(AND(ISNUMBER(E673),ISNUMBER(F673),E673&gt;0,F673&gt;0),SQRT(3)*'Bulk Calculator'!O59*'Bulk Calculator'!AA59*((E673*'Bulk Calculator'!Q59)+(F673*SQRT(1-'Bulk Calculator'!Q59^2)))/'Bulk Calculator'!J59/'Bulk Calculator'!K59*100,D673*'Bulk Calculator'!AA59*'Bulk Calculator'!O59/'Bulk Calculator'!J59/'Bulk Calculator'!K59*100),"")</f>
        <v>0</v>
      </c>
      <c r="J673">
        <f>IFERROR(IF(AND(ISNUMBER(E673),ISNUMBER(F673),E673&gt;0,F673&gt;0),SQRT(3)*'Bulk Calculator'!O59*'Bulk Calculator'!U59*((E673*'Bulk Calculator'!M59)+(F673*SQRT(1-'Bulk Calculator'!M59^2)))/'Bulk Calculator'!J59/'Bulk Calculator'!K59*100,D673*'Bulk Calculator'!U59*'Bulk Calculator'!O59/'Bulk Calculator'!J59/'Bulk Calculator'!K59*100),"")</f>
        <v>0</v>
      </c>
      <c r="K673">
        <f>IFERROR(G673*B673*'Bulk Calculator'!J59/SQRT('Bulk Calculator'!S59)/1000,"")</f>
        <v>0</v>
      </c>
      <c r="L673">
        <f>IF(OR('Bulk Calculator'!R59="",'Bulk Calculator'!S59="",G673=""),0,IF(K673&gt;='Bulk Calculator'!R59,1,0))</f>
        <v>1</v>
      </c>
      <c r="M673">
        <f>IF(AND(H673=1,I673&lt;='OS-DORAEN'!$B$6,J673&lt;='OS-DORAEN'!$B$5,L673=1),1,0)</f>
        <v>1</v>
      </c>
      <c r="N673" t="str">
        <f t="shared" si="10"/>
        <v>Manufacturer VD Ref</v>
      </c>
    </row>
    <row r="674" spans="1:14" ht="15" customHeight="1" x14ac:dyDescent="0.35">
      <c r="A674">
        <v>60</v>
      </c>
      <c r="B674">
        <v>400</v>
      </c>
      <c r="C674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Master'!$F:$F,B674),"")</f>
        <v>530</v>
      </c>
      <c r="D674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Master'!$F:$F,B674),"")</f>
        <v>0.1023</v>
      </c>
      <c r="E674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Master'!$F:$F,B674),"")</f>
        <v>0.1023</v>
      </c>
      <c r="F674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Master'!$F:$F,B674),"")</f>
        <v>7.0000000000000007E-2</v>
      </c>
      <c r="G674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Master'!$F:$F,B674),"")</f>
        <v>143</v>
      </c>
      <c r="H674">
        <f>IF(AND(ISNUMBER(C674),C674&gt;='Bulk Calculator'!U60/('Bulk Calculator'!J60*'Bulk Calculator'!L60)),1,0)</f>
        <v>1</v>
      </c>
      <c r="I674">
        <f>IFERROR(IF(AND(ISNUMBER(E674),ISNUMBER(F674),E674&gt;0,F674&gt;0),SQRT(3)*'Bulk Calculator'!O60*'Bulk Calculator'!AA60*((E674*'Bulk Calculator'!Q60)+(F674*SQRT(1-'Bulk Calculator'!Q60^2)))/'Bulk Calculator'!J60/'Bulk Calculator'!K60*100,D674*'Bulk Calculator'!AA60*'Bulk Calculator'!O60/'Bulk Calculator'!J60/'Bulk Calculator'!K60*100),"")</f>
        <v>0</v>
      </c>
      <c r="J674">
        <f>IFERROR(IF(AND(ISNUMBER(E674),ISNUMBER(F674),E674&gt;0,F674&gt;0),SQRT(3)*'Bulk Calculator'!O60*'Bulk Calculator'!U60*((E674*'Bulk Calculator'!M60)+(F674*SQRT(1-'Bulk Calculator'!M60^2)))/'Bulk Calculator'!J60/'Bulk Calculator'!K60*100,D674*'Bulk Calculator'!U60*'Bulk Calculator'!O60/'Bulk Calculator'!J60/'Bulk Calculator'!K60*100),"")</f>
        <v>0</v>
      </c>
      <c r="K674">
        <f>IFERROR(G674*B674*'Bulk Calculator'!J60/SQRT('Bulk Calculator'!S60)/1000,"")</f>
        <v>127.90308831298798</v>
      </c>
      <c r="L674">
        <f>IF(OR('Bulk Calculator'!R60="",'Bulk Calculator'!S60="",G674=""),0,IF(K674&gt;='Bulk Calculator'!R60,1,0))</f>
        <v>1</v>
      </c>
      <c r="M674">
        <f>IF(AND(H674=1,I674&lt;='OS-DORAEN'!$B$6,J674&lt;='OS-DORAEN'!$B$5,L674=1),1,0)</f>
        <v>1</v>
      </c>
      <c r="N674" t="str">
        <f t="shared" si="10"/>
        <v>R/X</v>
      </c>
    </row>
    <row r="675" spans="1:14" ht="15" customHeight="1" x14ac:dyDescent="0.35">
      <c r="A675">
        <v>60</v>
      </c>
      <c r="B675">
        <v>300</v>
      </c>
      <c r="C675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Master'!$F:$F,B675),"")</f>
        <v>455</v>
      </c>
      <c r="D675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Master'!$F:$F,B675),"")</f>
        <v>0.13</v>
      </c>
      <c r="E675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Master'!$F:$F,B675),"")</f>
        <v>0.13</v>
      </c>
      <c r="F675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Master'!$F:$F,B675),"")</f>
        <v>7.0999999999999994E-2</v>
      </c>
      <c r="G675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Master'!$F:$F,B675),"")</f>
        <v>143</v>
      </c>
      <c r="H675">
        <f>IF(AND(ISNUMBER(C675),C675&gt;='Bulk Calculator'!U60/('Bulk Calculator'!J60*'Bulk Calculator'!L60)),1,0)</f>
        <v>1</v>
      </c>
      <c r="I675">
        <f>IFERROR(IF(AND(ISNUMBER(E675),ISNUMBER(F675),E675&gt;0,F675&gt;0),SQRT(3)*'Bulk Calculator'!O60*'Bulk Calculator'!AA60*((E675*'Bulk Calculator'!Q60)+(F675*SQRT(1-'Bulk Calculator'!Q60^2)))/'Bulk Calculator'!J60/'Bulk Calculator'!K60*100,D675*'Bulk Calculator'!AA60*'Bulk Calculator'!O60/'Bulk Calculator'!J60/'Bulk Calculator'!K60*100),"")</f>
        <v>0</v>
      </c>
      <c r="J675">
        <f>IFERROR(IF(AND(ISNUMBER(E675),ISNUMBER(F675),E675&gt;0,F675&gt;0),SQRT(3)*'Bulk Calculator'!O60*'Bulk Calculator'!U60*((E675*'Bulk Calculator'!M60)+(F675*SQRT(1-'Bulk Calculator'!M60^2)))/'Bulk Calculator'!J60/'Bulk Calculator'!K60*100,D675*'Bulk Calculator'!U60*'Bulk Calculator'!O60/'Bulk Calculator'!J60/'Bulk Calculator'!K60*100),"")</f>
        <v>0</v>
      </c>
      <c r="K675">
        <f>IFERROR(G675*B675*'Bulk Calculator'!J60/SQRT('Bulk Calculator'!S60)/1000,"")</f>
        <v>95.927316234740985</v>
      </c>
      <c r="L675">
        <f>IF(OR('Bulk Calculator'!R60="",'Bulk Calculator'!S60="",G675=""),0,IF(K675&gt;='Bulk Calculator'!R60,1,0))</f>
        <v>1</v>
      </c>
      <c r="M675">
        <f>IF(AND(H675=1,I675&lt;='OS-DORAEN'!$B$6,J675&lt;='OS-DORAEN'!$B$5,L675=1),1,0)</f>
        <v>1</v>
      </c>
      <c r="N675" t="str">
        <f t="shared" si="10"/>
        <v>R/X</v>
      </c>
    </row>
    <row r="676" spans="1:14" ht="15" customHeight="1" x14ac:dyDescent="0.35">
      <c r="A676">
        <v>60</v>
      </c>
      <c r="B676">
        <v>240</v>
      </c>
      <c r="C676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Master'!$F:$F,B676),"")</f>
        <v>399</v>
      </c>
      <c r="D676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Master'!$F:$F,B676),"")</f>
        <v>0.16200000000000001</v>
      </c>
      <c r="E676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Master'!$F:$F,B676),"")</f>
        <v>0.16200000000000001</v>
      </c>
      <c r="F676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Master'!$F:$F,B676),"")</f>
        <v>7.1999999999999995E-2</v>
      </c>
      <c r="G676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Master'!$F:$F,B676),"")</f>
        <v>143</v>
      </c>
      <c r="H676">
        <f>IF(AND(ISNUMBER(C676),C676&gt;='Bulk Calculator'!U60/('Bulk Calculator'!J60*'Bulk Calculator'!L60)),1,0)</f>
        <v>1</v>
      </c>
      <c r="I676">
        <f>IFERROR(IF(AND(ISNUMBER(E676),ISNUMBER(F676),E676&gt;0,F676&gt;0),SQRT(3)*'Bulk Calculator'!O60*'Bulk Calculator'!AA60*((E676*'Bulk Calculator'!Q60)+(F676*SQRT(1-'Bulk Calculator'!Q60^2)))/'Bulk Calculator'!J60/'Bulk Calculator'!K60*100,D676*'Bulk Calculator'!AA60*'Bulk Calculator'!O60/'Bulk Calculator'!J60/'Bulk Calculator'!K60*100),"")</f>
        <v>0</v>
      </c>
      <c r="J676">
        <f>IFERROR(IF(AND(ISNUMBER(E676),ISNUMBER(F676),E676&gt;0,F676&gt;0),SQRT(3)*'Bulk Calculator'!O60*'Bulk Calculator'!U60*((E676*'Bulk Calculator'!M60)+(F676*SQRT(1-'Bulk Calculator'!M60^2)))/'Bulk Calculator'!J60/'Bulk Calculator'!K60*100,D676*'Bulk Calculator'!U60*'Bulk Calculator'!O60/'Bulk Calculator'!J60/'Bulk Calculator'!K60*100),"")</f>
        <v>0</v>
      </c>
      <c r="K676">
        <f>IFERROR(G676*B676*'Bulk Calculator'!J60/SQRT('Bulk Calculator'!S60)/1000,"")</f>
        <v>76.741852987792782</v>
      </c>
      <c r="L676">
        <f>IF(OR('Bulk Calculator'!R60="",'Bulk Calculator'!S60="",G676=""),0,IF(K676&gt;='Bulk Calculator'!R60,1,0))</f>
        <v>1</v>
      </c>
      <c r="M676">
        <f>IF(AND(H676=1,I676&lt;='OS-DORAEN'!$B$6,J676&lt;='OS-DORAEN'!$B$5,L676=1),1,0)</f>
        <v>1</v>
      </c>
      <c r="N676" t="str">
        <f t="shared" si="10"/>
        <v>R/X</v>
      </c>
    </row>
    <row r="677" spans="1:14" ht="15" customHeight="1" x14ac:dyDescent="0.35">
      <c r="A677">
        <v>60</v>
      </c>
      <c r="B677">
        <v>185</v>
      </c>
      <c r="C677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Master'!$F:$F,B677),"")</f>
        <v>337</v>
      </c>
      <c r="D677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Master'!$F:$F,B677),"")</f>
        <v>0.21099999999999999</v>
      </c>
      <c r="E677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Master'!$F:$F,B677),"")</f>
        <v>0.21099999999999999</v>
      </c>
      <c r="F677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Master'!$F:$F,B677),"")</f>
        <v>7.1999999999999995E-2</v>
      </c>
      <c r="G677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Master'!$F:$F,B677),"")</f>
        <v>143</v>
      </c>
      <c r="H677">
        <f>IF(AND(ISNUMBER(C677),C677&gt;='Bulk Calculator'!U60/('Bulk Calculator'!J60*'Bulk Calculator'!L60)),1,0)</f>
        <v>1</v>
      </c>
      <c r="I677">
        <f>IFERROR(IF(AND(ISNUMBER(E677),ISNUMBER(F677),E677&gt;0,F677&gt;0),SQRT(3)*'Bulk Calculator'!O60*'Bulk Calculator'!AA60*((E677*'Bulk Calculator'!Q60)+(F677*SQRT(1-'Bulk Calculator'!Q60^2)))/'Bulk Calculator'!J60/'Bulk Calculator'!K60*100,D677*'Bulk Calculator'!AA60*'Bulk Calculator'!O60/'Bulk Calculator'!J60/'Bulk Calculator'!K60*100),"")</f>
        <v>0</v>
      </c>
      <c r="J677">
        <f>IFERROR(IF(AND(ISNUMBER(E677),ISNUMBER(F677),E677&gt;0,F677&gt;0),SQRT(3)*'Bulk Calculator'!O60*'Bulk Calculator'!U60*((E677*'Bulk Calculator'!M60)+(F677*SQRT(1-'Bulk Calculator'!M60^2)))/'Bulk Calculator'!J60/'Bulk Calculator'!K60*100,D677*'Bulk Calculator'!U60*'Bulk Calculator'!O60/'Bulk Calculator'!J60/'Bulk Calculator'!K60*100),"")</f>
        <v>0</v>
      </c>
      <c r="K677">
        <f>IFERROR(G677*B677*'Bulk Calculator'!J60/SQRT('Bulk Calculator'!S60)/1000,"")</f>
        <v>59.155178344756941</v>
      </c>
      <c r="L677">
        <f>IF(OR('Bulk Calculator'!R60="",'Bulk Calculator'!S60="",G677=""),0,IF(K677&gt;='Bulk Calculator'!R60,1,0))</f>
        <v>1</v>
      </c>
      <c r="M677">
        <f>IF(AND(H677=1,I677&lt;='OS-DORAEN'!$B$6,J677&lt;='OS-DORAEN'!$B$5,L677=1),1,0)</f>
        <v>1</v>
      </c>
      <c r="N677" t="str">
        <f t="shared" si="10"/>
        <v>R/X</v>
      </c>
    </row>
    <row r="678" spans="1:14" ht="15" customHeight="1" x14ac:dyDescent="0.35">
      <c r="A678">
        <v>60</v>
      </c>
      <c r="B678">
        <v>150</v>
      </c>
      <c r="C678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Master'!$F:$F,B678),"")</f>
        <v>292</v>
      </c>
      <c r="D678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Master'!$F:$F,B678),"")</f>
        <v>0.26500000000000001</v>
      </c>
      <c r="E678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Master'!$F:$F,B678),"")</f>
        <v>0.26500000000000001</v>
      </c>
      <c r="F678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Master'!$F:$F,B678),"")</f>
        <v>7.1999999999999995E-2</v>
      </c>
      <c r="G678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Master'!$F:$F,B678),"")</f>
        <v>143</v>
      </c>
      <c r="H678">
        <f>IF(AND(ISNUMBER(C678),C678&gt;='Bulk Calculator'!U60/('Bulk Calculator'!J60*'Bulk Calculator'!L60)),1,0)</f>
        <v>1</v>
      </c>
      <c r="I678">
        <f>IFERROR(IF(AND(ISNUMBER(E678),ISNUMBER(F678),E678&gt;0,F678&gt;0),SQRT(3)*'Bulk Calculator'!O60*'Bulk Calculator'!AA60*((E678*'Bulk Calculator'!Q60)+(F678*SQRT(1-'Bulk Calculator'!Q60^2)))/'Bulk Calculator'!J60/'Bulk Calculator'!K60*100,D678*'Bulk Calculator'!AA60*'Bulk Calculator'!O60/'Bulk Calculator'!J60/'Bulk Calculator'!K60*100),"")</f>
        <v>0</v>
      </c>
      <c r="J678">
        <f>IFERROR(IF(AND(ISNUMBER(E678),ISNUMBER(F678),E678&gt;0,F678&gt;0),SQRT(3)*'Bulk Calculator'!O60*'Bulk Calculator'!U60*((E678*'Bulk Calculator'!M60)+(F678*SQRT(1-'Bulk Calculator'!M60^2)))/'Bulk Calculator'!J60/'Bulk Calculator'!K60*100,D678*'Bulk Calculator'!U60*'Bulk Calculator'!O60/'Bulk Calculator'!J60/'Bulk Calculator'!K60*100),"")</f>
        <v>0</v>
      </c>
      <c r="K678">
        <f>IFERROR(G678*B678*'Bulk Calculator'!J60/SQRT('Bulk Calculator'!S60)/1000,"")</f>
        <v>47.963658117370493</v>
      </c>
      <c r="L678">
        <f>IF(OR('Bulk Calculator'!R60="",'Bulk Calculator'!S60="",G678=""),0,IF(K678&gt;='Bulk Calculator'!R60,1,0))</f>
        <v>1</v>
      </c>
      <c r="M678">
        <f>IF(AND(H678=1,I678&lt;='OS-DORAEN'!$B$6,J678&lt;='OS-DORAEN'!$B$5,L678=1),1,0)</f>
        <v>1</v>
      </c>
      <c r="N678" t="str">
        <f t="shared" si="10"/>
        <v>R/X</v>
      </c>
    </row>
    <row r="679" spans="1:14" ht="15" customHeight="1" x14ac:dyDescent="0.35">
      <c r="A679">
        <v>60</v>
      </c>
      <c r="B679">
        <v>120</v>
      </c>
      <c r="C679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Master'!$F:$F,B679),"")</f>
        <v>257</v>
      </c>
      <c r="D679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Master'!$F:$F,B679),"")</f>
        <v>0.32500000000000001</v>
      </c>
      <c r="E679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Master'!$F:$F,B679),"")</f>
        <v>0.32500000000000001</v>
      </c>
      <c r="F679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Master'!$F:$F,B679),"")</f>
        <v>7.1999999999999995E-2</v>
      </c>
      <c r="G679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Master'!$F:$F,B679),"")</f>
        <v>143</v>
      </c>
      <c r="H679">
        <f>IF(AND(ISNUMBER(C679),C679&gt;='Bulk Calculator'!U60/('Bulk Calculator'!J60*'Bulk Calculator'!L60)),1,0)</f>
        <v>1</v>
      </c>
      <c r="I679">
        <f>IFERROR(IF(AND(ISNUMBER(E679),ISNUMBER(F679),E679&gt;0,F679&gt;0),SQRT(3)*'Bulk Calculator'!O60*'Bulk Calculator'!AA60*((E679*'Bulk Calculator'!Q60)+(F679*SQRT(1-'Bulk Calculator'!Q60^2)))/'Bulk Calculator'!J60/'Bulk Calculator'!K60*100,D679*'Bulk Calculator'!AA60*'Bulk Calculator'!O60/'Bulk Calculator'!J60/'Bulk Calculator'!K60*100),"")</f>
        <v>0</v>
      </c>
      <c r="J679">
        <f>IFERROR(IF(AND(ISNUMBER(E679),ISNUMBER(F679),E679&gt;0,F679&gt;0),SQRT(3)*'Bulk Calculator'!O60*'Bulk Calculator'!U60*((E679*'Bulk Calculator'!M60)+(F679*SQRT(1-'Bulk Calculator'!M60^2)))/'Bulk Calculator'!J60/'Bulk Calculator'!K60*100,D679*'Bulk Calculator'!U60*'Bulk Calculator'!O60/'Bulk Calculator'!J60/'Bulk Calculator'!K60*100),"")</f>
        <v>0</v>
      </c>
      <c r="K679">
        <f>IFERROR(G679*B679*'Bulk Calculator'!J60/SQRT('Bulk Calculator'!S60)/1000,"")</f>
        <v>38.370926493896391</v>
      </c>
      <c r="L679">
        <f>IF(OR('Bulk Calculator'!R60="",'Bulk Calculator'!S60="",G679=""),0,IF(K679&gt;='Bulk Calculator'!R60,1,0))</f>
        <v>1</v>
      </c>
      <c r="M679">
        <f>IF(AND(H679=1,I679&lt;='OS-DORAEN'!$B$6,J679&lt;='OS-DORAEN'!$B$5,L679=1),1,0)</f>
        <v>1</v>
      </c>
      <c r="N679" t="str">
        <f t="shared" si="10"/>
        <v>R/X</v>
      </c>
    </row>
    <row r="680" spans="1:14" ht="15" customHeight="1" x14ac:dyDescent="0.35">
      <c r="A680">
        <v>60</v>
      </c>
      <c r="B680">
        <v>95</v>
      </c>
      <c r="C680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Master'!$F:$F,B680),"")</f>
        <v>221</v>
      </c>
      <c r="D680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Master'!$F:$F,B680),"")</f>
        <v>0.41</v>
      </c>
      <c r="E680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Master'!$F:$F,B680),"")</f>
        <v>0.41</v>
      </c>
      <c r="F680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Master'!$F:$F,B680),"")</f>
        <v>7.3999999999999996E-2</v>
      </c>
      <c r="G680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Master'!$F:$F,B680),"")</f>
        <v>143</v>
      </c>
      <c r="H680">
        <f>IF(AND(ISNUMBER(C680),C680&gt;='Bulk Calculator'!U60/('Bulk Calculator'!J60*'Bulk Calculator'!L60)),1,0)</f>
        <v>1</v>
      </c>
      <c r="I680">
        <f>IFERROR(IF(AND(ISNUMBER(E680),ISNUMBER(F680),E680&gt;0,F680&gt;0),SQRT(3)*'Bulk Calculator'!O60*'Bulk Calculator'!AA60*((E680*'Bulk Calculator'!Q60)+(F680*SQRT(1-'Bulk Calculator'!Q60^2)))/'Bulk Calculator'!J60/'Bulk Calculator'!K60*100,D680*'Bulk Calculator'!AA60*'Bulk Calculator'!O60/'Bulk Calculator'!J60/'Bulk Calculator'!K60*100),"")</f>
        <v>0</v>
      </c>
      <c r="J680">
        <f>IFERROR(IF(AND(ISNUMBER(E680),ISNUMBER(F680),E680&gt;0,F680&gt;0),SQRT(3)*'Bulk Calculator'!O60*'Bulk Calculator'!U60*((E680*'Bulk Calculator'!M60)+(F680*SQRT(1-'Bulk Calculator'!M60^2)))/'Bulk Calculator'!J60/'Bulk Calculator'!K60*100,D680*'Bulk Calculator'!U60*'Bulk Calculator'!O60/'Bulk Calculator'!J60/'Bulk Calculator'!K60*100),"")</f>
        <v>0</v>
      </c>
      <c r="K680">
        <f>IFERROR(G680*B680*'Bulk Calculator'!J60/SQRT('Bulk Calculator'!S60)/1000,"")</f>
        <v>30.376983474334644</v>
      </c>
      <c r="L680">
        <f>IF(OR('Bulk Calculator'!R60="",'Bulk Calculator'!S60="",G680=""),0,IF(K680&gt;='Bulk Calculator'!R60,1,0))</f>
        <v>1</v>
      </c>
      <c r="M680">
        <f>IF(AND(H680=1,I680&lt;='OS-DORAEN'!$B$6,J680&lt;='OS-DORAEN'!$B$5,L680=1),1,0)</f>
        <v>1</v>
      </c>
      <c r="N680" t="str">
        <f t="shared" si="10"/>
        <v>R/X</v>
      </c>
    </row>
    <row r="681" spans="1:14" ht="15" customHeight="1" x14ac:dyDescent="0.35">
      <c r="A681">
        <v>60</v>
      </c>
      <c r="B681">
        <v>70</v>
      </c>
      <c r="C681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Master'!$F:$F,B681),"")</f>
        <v>179</v>
      </c>
      <c r="D681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Master'!$F:$F,B681),"")</f>
        <v>0.56699999999999995</v>
      </c>
      <c r="E681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Master'!$F:$F,B681),"")</f>
        <v>0.56699999999999995</v>
      </c>
      <c r="F681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Master'!$F:$F,B681),"")</f>
        <v>7.6999999999999999E-2</v>
      </c>
      <c r="G681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Master'!$F:$F,B681),"")</f>
        <v>143</v>
      </c>
      <c r="H681">
        <f>IF(AND(ISNUMBER(C681),C681&gt;='Bulk Calculator'!U60/('Bulk Calculator'!J60*'Bulk Calculator'!L60)),1,0)</f>
        <v>1</v>
      </c>
      <c r="I681">
        <f>IFERROR(IF(AND(ISNUMBER(E681),ISNUMBER(F681),E681&gt;0,F681&gt;0),SQRT(3)*'Bulk Calculator'!O60*'Bulk Calculator'!AA60*((E681*'Bulk Calculator'!Q60)+(F681*SQRT(1-'Bulk Calculator'!Q60^2)))/'Bulk Calculator'!J60/'Bulk Calculator'!K60*100,D681*'Bulk Calculator'!AA60*'Bulk Calculator'!O60/'Bulk Calculator'!J60/'Bulk Calculator'!K60*100),"")</f>
        <v>0</v>
      </c>
      <c r="J681">
        <f>IFERROR(IF(AND(ISNUMBER(E681),ISNUMBER(F681),E681&gt;0,F681&gt;0),SQRT(3)*'Bulk Calculator'!O60*'Bulk Calculator'!U60*((E681*'Bulk Calculator'!M60)+(F681*SQRT(1-'Bulk Calculator'!M60^2)))/'Bulk Calculator'!J60/'Bulk Calculator'!K60*100,D681*'Bulk Calculator'!U60*'Bulk Calculator'!O60/'Bulk Calculator'!J60/'Bulk Calculator'!K60*100),"")</f>
        <v>0</v>
      </c>
      <c r="K681">
        <f>IFERROR(G681*B681*'Bulk Calculator'!J60/SQRT('Bulk Calculator'!S60)/1000,"")</f>
        <v>22.383040454772893</v>
      </c>
      <c r="L681">
        <f>IF(OR('Bulk Calculator'!R60="",'Bulk Calculator'!S60="",G681=""),0,IF(K681&gt;='Bulk Calculator'!R60,1,0))</f>
        <v>1</v>
      </c>
      <c r="M681">
        <f>IF(AND(H681=1,I681&lt;='OS-DORAEN'!$B$6,J681&lt;='OS-DORAEN'!$B$5,L681=1),1,0)</f>
        <v>1</v>
      </c>
      <c r="N681" t="str">
        <f t="shared" si="10"/>
        <v>R/X</v>
      </c>
    </row>
    <row r="682" spans="1:14" ht="15" customHeight="1" x14ac:dyDescent="0.35">
      <c r="A682">
        <v>60</v>
      </c>
      <c r="B682">
        <v>50</v>
      </c>
      <c r="C682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Master'!$F:$F,B682),"")</f>
        <v>142</v>
      </c>
      <c r="D682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Master'!$F:$F,B682),"")</f>
        <v>0.82</v>
      </c>
      <c r="E682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Master'!$F:$F,B682),"")</f>
        <v>0.82</v>
      </c>
      <c r="F682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Master'!$F:$F,B682),"")</f>
        <v>7.8E-2</v>
      </c>
      <c r="G682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Master'!$F:$F,B682),"")</f>
        <v>143</v>
      </c>
      <c r="H682">
        <f>IF(AND(ISNUMBER(C682),C682&gt;='Bulk Calculator'!U60/('Bulk Calculator'!J60*'Bulk Calculator'!L60)),1,0)</f>
        <v>1</v>
      </c>
      <c r="I682">
        <f>IFERROR(IF(AND(ISNUMBER(E682),ISNUMBER(F682),E682&gt;0,F682&gt;0),SQRT(3)*'Bulk Calculator'!O60*'Bulk Calculator'!AA60*((E682*'Bulk Calculator'!Q60)+(F682*SQRT(1-'Bulk Calculator'!Q60^2)))/'Bulk Calculator'!J60/'Bulk Calculator'!K60*100,D682*'Bulk Calculator'!AA60*'Bulk Calculator'!O60/'Bulk Calculator'!J60/'Bulk Calculator'!K60*100),"")</f>
        <v>0</v>
      </c>
      <c r="J682">
        <f>IFERROR(IF(AND(ISNUMBER(E682),ISNUMBER(F682),E682&gt;0,F682&gt;0),SQRT(3)*'Bulk Calculator'!O60*'Bulk Calculator'!U60*((E682*'Bulk Calculator'!M60)+(F682*SQRT(1-'Bulk Calculator'!M60^2)))/'Bulk Calculator'!J60/'Bulk Calculator'!K60*100,D682*'Bulk Calculator'!U60*'Bulk Calculator'!O60/'Bulk Calculator'!J60/'Bulk Calculator'!K60*100),"")</f>
        <v>0</v>
      </c>
      <c r="K682">
        <f>IFERROR(G682*B682*'Bulk Calculator'!J60/SQRT('Bulk Calculator'!S60)/1000,"")</f>
        <v>15.987886039123497</v>
      </c>
      <c r="L682">
        <f>IF(OR('Bulk Calculator'!R60="",'Bulk Calculator'!S60="",G682=""),0,IF(K682&gt;='Bulk Calculator'!R60,1,0))</f>
        <v>1</v>
      </c>
      <c r="M682">
        <f>IF(AND(H682=1,I682&lt;='OS-DORAEN'!$B$6,J682&lt;='OS-DORAEN'!$B$5,L682=1),1,0)</f>
        <v>1</v>
      </c>
      <c r="N682" t="str">
        <f t="shared" si="10"/>
        <v>R/X</v>
      </c>
    </row>
    <row r="683" spans="1:14" ht="15" customHeight="1" x14ac:dyDescent="0.35">
      <c r="A683">
        <v>60</v>
      </c>
      <c r="B683">
        <v>35</v>
      </c>
      <c r="C683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Master'!$F:$F,B683),"")</f>
        <v>117</v>
      </c>
      <c r="D683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Master'!$F:$F,B683),"")</f>
        <v>1.1100000000000001</v>
      </c>
      <c r="E683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Master'!$F:$F,B683),"")</f>
        <v>1.1100000000000001</v>
      </c>
      <c r="F683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Master'!$F:$F,B683),"")</f>
        <v>0.08</v>
      </c>
      <c r="G683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Master'!$F:$F,B683),"")</f>
        <v>143</v>
      </c>
      <c r="H683">
        <f>IF(AND(ISNUMBER(C683),C683&gt;='Bulk Calculator'!U60/('Bulk Calculator'!J60*'Bulk Calculator'!L60)),1,0)</f>
        <v>1</v>
      </c>
      <c r="I683">
        <f>IFERROR(IF(AND(ISNUMBER(E683),ISNUMBER(F683),E683&gt;0,F683&gt;0),SQRT(3)*'Bulk Calculator'!O60*'Bulk Calculator'!AA60*((E683*'Bulk Calculator'!Q60)+(F683*SQRT(1-'Bulk Calculator'!Q60^2)))/'Bulk Calculator'!J60/'Bulk Calculator'!K60*100,D683*'Bulk Calculator'!AA60*'Bulk Calculator'!O60/'Bulk Calculator'!J60/'Bulk Calculator'!K60*100),"")</f>
        <v>0</v>
      </c>
      <c r="J683">
        <f>IFERROR(IF(AND(ISNUMBER(E683),ISNUMBER(F683),E683&gt;0,F683&gt;0),SQRT(3)*'Bulk Calculator'!O60*'Bulk Calculator'!U60*((E683*'Bulk Calculator'!M60)+(F683*SQRT(1-'Bulk Calculator'!M60^2)))/'Bulk Calculator'!J60/'Bulk Calculator'!K60*100,D683*'Bulk Calculator'!U60*'Bulk Calculator'!O60/'Bulk Calculator'!J60/'Bulk Calculator'!K60*100),"")</f>
        <v>0</v>
      </c>
      <c r="K683">
        <f>IFERROR(G683*B683*'Bulk Calculator'!J60/SQRT('Bulk Calculator'!S60)/1000,"")</f>
        <v>11.191520227386446</v>
      </c>
      <c r="L683">
        <f>IF(OR('Bulk Calculator'!R60="",'Bulk Calculator'!S60="",G683=""),0,IF(K683&gt;='Bulk Calculator'!R60,1,0))</f>
        <v>1</v>
      </c>
      <c r="M683">
        <f>IF(AND(H683=1,I683&lt;='OS-DORAEN'!$B$6,J683&lt;='OS-DORAEN'!$B$5,L683=1),1,0)</f>
        <v>1</v>
      </c>
      <c r="N683" t="str">
        <f t="shared" si="10"/>
        <v>R/X</v>
      </c>
    </row>
    <row r="684" spans="1:14" ht="15" customHeight="1" x14ac:dyDescent="0.35">
      <c r="A684">
        <v>60</v>
      </c>
      <c r="B684">
        <v>25</v>
      </c>
      <c r="C684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Master'!$F:$F,B684),"")</f>
        <v>96</v>
      </c>
      <c r="D684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Master'!$F:$F,B684),"")</f>
        <v>1.54</v>
      </c>
      <c r="E684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Master'!$F:$F,B684),"")</f>
        <v>1.54</v>
      </c>
      <c r="F684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Master'!$F:$F,B684),"")</f>
        <v>0.08</v>
      </c>
      <c r="G684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Master'!$F:$F,B684),"")</f>
        <v>143</v>
      </c>
      <c r="H684">
        <f>IF(AND(ISNUMBER(C684),C684&gt;='Bulk Calculator'!U60/('Bulk Calculator'!J60*'Bulk Calculator'!L60)),1,0)</f>
        <v>1</v>
      </c>
      <c r="I684">
        <f>IFERROR(IF(AND(ISNUMBER(E684),ISNUMBER(F684),E684&gt;0,F684&gt;0),SQRT(3)*'Bulk Calculator'!O60*'Bulk Calculator'!AA60*((E684*'Bulk Calculator'!Q60)+(F684*SQRT(1-'Bulk Calculator'!Q60^2)))/'Bulk Calculator'!J60/'Bulk Calculator'!K60*100,D684*'Bulk Calculator'!AA60*'Bulk Calculator'!O60/'Bulk Calculator'!J60/'Bulk Calculator'!K60*100),"")</f>
        <v>0</v>
      </c>
      <c r="J684">
        <f>IFERROR(IF(AND(ISNUMBER(E684),ISNUMBER(F684),E684&gt;0,F684&gt;0),SQRT(3)*'Bulk Calculator'!O60*'Bulk Calculator'!U60*((E684*'Bulk Calculator'!M60)+(F684*SQRT(1-'Bulk Calculator'!M60^2)))/'Bulk Calculator'!J60/'Bulk Calculator'!K60*100,D684*'Bulk Calculator'!U60*'Bulk Calculator'!O60/'Bulk Calculator'!J60/'Bulk Calculator'!K60*100),"")</f>
        <v>0</v>
      </c>
      <c r="K684">
        <f>IFERROR(G684*B684*'Bulk Calculator'!J60/SQRT('Bulk Calculator'!S60)/1000,"")</f>
        <v>7.9939430195617485</v>
      </c>
      <c r="L684">
        <f>IF(OR('Bulk Calculator'!R60="",'Bulk Calculator'!S60="",G684=""),0,IF(K684&gt;='Bulk Calculator'!R60,1,0))</f>
        <v>1</v>
      </c>
      <c r="M684">
        <f>IF(AND(H684=1,I684&lt;='OS-DORAEN'!$B$6,J684&lt;='OS-DORAEN'!$B$5,L684=1),1,0)</f>
        <v>1</v>
      </c>
      <c r="N684" t="str">
        <f t="shared" si="10"/>
        <v>R/X</v>
      </c>
    </row>
    <row r="685" spans="1:14" ht="15" customHeight="1" x14ac:dyDescent="0.35">
      <c r="A685">
        <v>60</v>
      </c>
      <c r="B685">
        <v>16</v>
      </c>
      <c r="C685">
        <f>IFERROR(SUMIFS('Cable Data Master'!$G:$G,'Cable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Master'!$F:$F,B685),"")</f>
        <v>0</v>
      </c>
      <c r="D685">
        <f>IFERROR(SUMIFS('Cable Data Master'!$K:$K,'Cable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Master'!$F:$F,B685),"")</f>
        <v>0</v>
      </c>
      <c r="E685">
        <f>IFERROR(SUMIFS('Cable Data Master'!$H:$H,'Cable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Master'!$F:$F,B685),"")</f>
        <v>0</v>
      </c>
      <c r="F685">
        <f>IFERROR(SUMIFS('Cable Data Master'!$I:$I,'Cable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Master'!$F:$F,B685),"")</f>
        <v>0</v>
      </c>
      <c r="G685">
        <f>IFERROR(SUMIFS('Cable Data Master'!$J:$J,'Cable Data Master'!$A:$A,'Bulk Calculator'!$BF60,'Cable Data Master'!$B:$B,'Bulk Calculator'!$BG60,'Cable Data Master'!$C:$C,'Bulk Calculator'!$BH60,'Cable Data Master'!$D:$D,'Bulk Calculator'!$BI60,'Cable Data Master'!$E:$E,'Bulk Calculator'!$BJ60,'Cable Data Master'!$F:$F,B685),"")</f>
        <v>0</v>
      </c>
      <c r="H685">
        <f>IF(AND(ISNUMBER(C685),C685&gt;='Bulk Calculator'!U60/('Bulk Calculator'!J60*'Bulk Calculator'!L60)),1,0)</f>
        <v>1</v>
      </c>
      <c r="I685">
        <f>IFERROR(IF(AND(ISNUMBER(E685),ISNUMBER(F685),E685&gt;0,F685&gt;0),SQRT(3)*'Bulk Calculator'!O60*'Bulk Calculator'!AA60*((E685*'Bulk Calculator'!Q60)+(F685*SQRT(1-'Bulk Calculator'!Q60^2)))/'Bulk Calculator'!J60/'Bulk Calculator'!K60*100,D685*'Bulk Calculator'!AA60*'Bulk Calculator'!O60/'Bulk Calculator'!J60/'Bulk Calculator'!K60*100),"")</f>
        <v>0</v>
      </c>
      <c r="J685">
        <f>IFERROR(IF(AND(ISNUMBER(E685),ISNUMBER(F685),E685&gt;0,F685&gt;0),SQRT(3)*'Bulk Calculator'!O60*'Bulk Calculator'!U60*((E685*'Bulk Calculator'!M60)+(F685*SQRT(1-'Bulk Calculator'!M60^2)))/'Bulk Calculator'!J60/'Bulk Calculator'!K60*100,D685*'Bulk Calculator'!U60*'Bulk Calculator'!O60/'Bulk Calculator'!J60/'Bulk Calculator'!K60*100),"")</f>
        <v>0</v>
      </c>
      <c r="K685">
        <f>IFERROR(G685*B685*'Bulk Calculator'!J60/SQRT('Bulk Calculator'!S60)/1000,"")</f>
        <v>0</v>
      </c>
      <c r="L685">
        <f>IF(OR('Bulk Calculator'!R60="",'Bulk Calculator'!S60="",G685=""),0,IF(K685&gt;='Bulk Calculator'!R60,1,0))</f>
        <v>1</v>
      </c>
      <c r="M685">
        <f>IF(AND(H685=1,I685&lt;='OS-DORAEN'!$B$6,J685&lt;='OS-DORAEN'!$B$5,L685=1),1,0)</f>
        <v>1</v>
      </c>
      <c r="N685" t="str">
        <f t="shared" si="10"/>
        <v>Manufacturer VD Ref</v>
      </c>
    </row>
    <row r="686" spans="1:14" ht="15" customHeight="1" x14ac:dyDescent="0.35">
      <c r="A686">
        <v>61</v>
      </c>
      <c r="B686">
        <v>400</v>
      </c>
      <c r="C686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Master'!$F:$F,B686),"")</f>
        <v>530</v>
      </c>
      <c r="D686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Master'!$F:$F,B686),"")</f>
        <v>0.1023</v>
      </c>
      <c r="E686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Master'!$F:$F,B686),"")</f>
        <v>0.1023</v>
      </c>
      <c r="F686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Master'!$F:$F,B686),"")</f>
        <v>7.0000000000000007E-2</v>
      </c>
      <c r="G686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Master'!$F:$F,B686),"")</f>
        <v>143</v>
      </c>
      <c r="H686">
        <f>IF(AND(ISNUMBER(C686),C686&gt;='Bulk Calculator'!U61/('Bulk Calculator'!J61*'Bulk Calculator'!L61)),1,0)</f>
        <v>1</v>
      </c>
      <c r="I686">
        <f>IFERROR(IF(AND(ISNUMBER(E686),ISNUMBER(F686),E686&gt;0,F686&gt;0),SQRT(3)*'Bulk Calculator'!O61*'Bulk Calculator'!AA61*((E686*'Bulk Calculator'!Q61)+(F686*SQRT(1-'Bulk Calculator'!Q61^2)))/'Bulk Calculator'!J61/'Bulk Calculator'!K61*100,D686*'Bulk Calculator'!AA61*'Bulk Calculator'!O61/'Bulk Calculator'!J61/'Bulk Calculator'!K61*100),"")</f>
        <v>0</v>
      </c>
      <c r="J686">
        <f>IFERROR(IF(AND(ISNUMBER(E686),ISNUMBER(F686),E686&gt;0,F686&gt;0),SQRT(3)*'Bulk Calculator'!O61*'Bulk Calculator'!U61*((E686*'Bulk Calculator'!M61)+(F686*SQRT(1-'Bulk Calculator'!M61^2)))/'Bulk Calculator'!J61/'Bulk Calculator'!K61*100,D686*'Bulk Calculator'!U61*'Bulk Calculator'!O61/'Bulk Calculator'!J61/'Bulk Calculator'!K61*100),"")</f>
        <v>0</v>
      </c>
      <c r="K686">
        <f>IFERROR(G686*B686*'Bulk Calculator'!J61/SQRT('Bulk Calculator'!S61)/1000,"")</f>
        <v>127.90308831298798</v>
      </c>
      <c r="L686">
        <f>IF(OR('Bulk Calculator'!R61="",'Bulk Calculator'!S61="",G686=""),0,IF(K686&gt;='Bulk Calculator'!R61,1,0))</f>
        <v>1</v>
      </c>
      <c r="M686">
        <f>IF(AND(H686=1,I686&lt;='OS-DORAEN'!$B$6,J686&lt;='OS-DORAEN'!$B$5,L686=1),1,0)</f>
        <v>1</v>
      </c>
      <c r="N686" t="str">
        <f t="shared" si="10"/>
        <v>R/X</v>
      </c>
    </row>
    <row r="687" spans="1:14" ht="15" customHeight="1" x14ac:dyDescent="0.35">
      <c r="A687">
        <v>61</v>
      </c>
      <c r="B687">
        <v>300</v>
      </c>
      <c r="C687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Master'!$F:$F,B687),"")</f>
        <v>455</v>
      </c>
      <c r="D687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Master'!$F:$F,B687),"")</f>
        <v>0.13</v>
      </c>
      <c r="E687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Master'!$F:$F,B687),"")</f>
        <v>0.13</v>
      </c>
      <c r="F687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Master'!$F:$F,B687),"")</f>
        <v>7.0999999999999994E-2</v>
      </c>
      <c r="G687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Master'!$F:$F,B687),"")</f>
        <v>143</v>
      </c>
      <c r="H687">
        <f>IF(AND(ISNUMBER(C687),C687&gt;='Bulk Calculator'!U61/('Bulk Calculator'!J61*'Bulk Calculator'!L61)),1,0)</f>
        <v>1</v>
      </c>
      <c r="I687">
        <f>IFERROR(IF(AND(ISNUMBER(E687),ISNUMBER(F687),E687&gt;0,F687&gt;0),SQRT(3)*'Bulk Calculator'!O61*'Bulk Calculator'!AA61*((E687*'Bulk Calculator'!Q61)+(F687*SQRT(1-'Bulk Calculator'!Q61^2)))/'Bulk Calculator'!J61/'Bulk Calculator'!K61*100,D687*'Bulk Calculator'!AA61*'Bulk Calculator'!O61/'Bulk Calculator'!J61/'Bulk Calculator'!K61*100),"")</f>
        <v>0</v>
      </c>
      <c r="J687">
        <f>IFERROR(IF(AND(ISNUMBER(E687),ISNUMBER(F687),E687&gt;0,F687&gt;0),SQRT(3)*'Bulk Calculator'!O61*'Bulk Calculator'!U61*((E687*'Bulk Calculator'!M61)+(F687*SQRT(1-'Bulk Calculator'!M61^2)))/'Bulk Calculator'!J61/'Bulk Calculator'!K61*100,D687*'Bulk Calculator'!U61*'Bulk Calculator'!O61/'Bulk Calculator'!J61/'Bulk Calculator'!K61*100),"")</f>
        <v>0</v>
      </c>
      <c r="K687">
        <f>IFERROR(G687*B687*'Bulk Calculator'!J61/SQRT('Bulk Calculator'!S61)/1000,"")</f>
        <v>95.927316234740985</v>
      </c>
      <c r="L687">
        <f>IF(OR('Bulk Calculator'!R61="",'Bulk Calculator'!S61="",G687=""),0,IF(K687&gt;='Bulk Calculator'!R61,1,0))</f>
        <v>1</v>
      </c>
      <c r="M687">
        <f>IF(AND(H687=1,I687&lt;='OS-DORAEN'!$B$6,J687&lt;='OS-DORAEN'!$B$5,L687=1),1,0)</f>
        <v>1</v>
      </c>
      <c r="N687" t="str">
        <f t="shared" si="10"/>
        <v>R/X</v>
      </c>
    </row>
    <row r="688" spans="1:14" ht="15" customHeight="1" x14ac:dyDescent="0.35">
      <c r="A688">
        <v>61</v>
      </c>
      <c r="B688">
        <v>240</v>
      </c>
      <c r="C688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Master'!$F:$F,B688),"")</f>
        <v>399</v>
      </c>
      <c r="D688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Master'!$F:$F,B688),"")</f>
        <v>0.16200000000000001</v>
      </c>
      <c r="E688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Master'!$F:$F,B688),"")</f>
        <v>0.16200000000000001</v>
      </c>
      <c r="F688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Master'!$F:$F,B688),"")</f>
        <v>7.1999999999999995E-2</v>
      </c>
      <c r="G688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Master'!$F:$F,B688),"")</f>
        <v>143</v>
      </c>
      <c r="H688">
        <f>IF(AND(ISNUMBER(C688),C688&gt;='Bulk Calculator'!U61/('Bulk Calculator'!J61*'Bulk Calculator'!L61)),1,0)</f>
        <v>1</v>
      </c>
      <c r="I688">
        <f>IFERROR(IF(AND(ISNUMBER(E688),ISNUMBER(F688),E688&gt;0,F688&gt;0),SQRT(3)*'Bulk Calculator'!O61*'Bulk Calculator'!AA61*((E688*'Bulk Calculator'!Q61)+(F688*SQRT(1-'Bulk Calculator'!Q61^2)))/'Bulk Calculator'!J61/'Bulk Calculator'!K61*100,D688*'Bulk Calculator'!AA61*'Bulk Calculator'!O61/'Bulk Calculator'!J61/'Bulk Calculator'!K61*100),"")</f>
        <v>0</v>
      </c>
      <c r="J688">
        <f>IFERROR(IF(AND(ISNUMBER(E688),ISNUMBER(F688),E688&gt;0,F688&gt;0),SQRT(3)*'Bulk Calculator'!O61*'Bulk Calculator'!U61*((E688*'Bulk Calculator'!M61)+(F688*SQRT(1-'Bulk Calculator'!M61^2)))/'Bulk Calculator'!J61/'Bulk Calculator'!K61*100,D688*'Bulk Calculator'!U61*'Bulk Calculator'!O61/'Bulk Calculator'!J61/'Bulk Calculator'!K61*100),"")</f>
        <v>0</v>
      </c>
      <c r="K688">
        <f>IFERROR(G688*B688*'Bulk Calculator'!J61/SQRT('Bulk Calculator'!S61)/1000,"")</f>
        <v>76.741852987792782</v>
      </c>
      <c r="L688">
        <f>IF(OR('Bulk Calculator'!R61="",'Bulk Calculator'!S61="",G688=""),0,IF(K688&gt;='Bulk Calculator'!R61,1,0))</f>
        <v>1</v>
      </c>
      <c r="M688">
        <f>IF(AND(H688=1,I688&lt;='OS-DORAEN'!$B$6,J688&lt;='OS-DORAEN'!$B$5,L688=1),1,0)</f>
        <v>1</v>
      </c>
      <c r="N688" t="str">
        <f t="shared" si="10"/>
        <v>R/X</v>
      </c>
    </row>
    <row r="689" spans="1:14" ht="15" customHeight="1" x14ac:dyDescent="0.35">
      <c r="A689">
        <v>61</v>
      </c>
      <c r="B689">
        <v>185</v>
      </c>
      <c r="C689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Master'!$F:$F,B689),"")</f>
        <v>337</v>
      </c>
      <c r="D689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Master'!$F:$F,B689),"")</f>
        <v>0.21099999999999999</v>
      </c>
      <c r="E689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Master'!$F:$F,B689),"")</f>
        <v>0.21099999999999999</v>
      </c>
      <c r="F689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Master'!$F:$F,B689),"")</f>
        <v>7.1999999999999995E-2</v>
      </c>
      <c r="G689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Master'!$F:$F,B689),"")</f>
        <v>143</v>
      </c>
      <c r="H689">
        <f>IF(AND(ISNUMBER(C689),C689&gt;='Bulk Calculator'!U61/('Bulk Calculator'!J61*'Bulk Calculator'!L61)),1,0)</f>
        <v>1</v>
      </c>
      <c r="I689">
        <f>IFERROR(IF(AND(ISNUMBER(E689),ISNUMBER(F689),E689&gt;0,F689&gt;0),SQRT(3)*'Bulk Calculator'!O61*'Bulk Calculator'!AA61*((E689*'Bulk Calculator'!Q61)+(F689*SQRT(1-'Bulk Calculator'!Q61^2)))/'Bulk Calculator'!J61/'Bulk Calculator'!K61*100,D689*'Bulk Calculator'!AA61*'Bulk Calculator'!O61/'Bulk Calculator'!J61/'Bulk Calculator'!K61*100),"")</f>
        <v>0</v>
      </c>
      <c r="J689">
        <f>IFERROR(IF(AND(ISNUMBER(E689),ISNUMBER(F689),E689&gt;0,F689&gt;0),SQRT(3)*'Bulk Calculator'!O61*'Bulk Calculator'!U61*((E689*'Bulk Calculator'!M61)+(F689*SQRT(1-'Bulk Calculator'!M61^2)))/'Bulk Calculator'!J61/'Bulk Calculator'!K61*100,D689*'Bulk Calculator'!U61*'Bulk Calculator'!O61/'Bulk Calculator'!J61/'Bulk Calculator'!K61*100),"")</f>
        <v>0</v>
      </c>
      <c r="K689">
        <f>IFERROR(G689*B689*'Bulk Calculator'!J61/SQRT('Bulk Calculator'!S61)/1000,"")</f>
        <v>59.155178344756941</v>
      </c>
      <c r="L689">
        <f>IF(OR('Bulk Calculator'!R61="",'Bulk Calculator'!S61="",G689=""),0,IF(K689&gt;='Bulk Calculator'!R61,1,0))</f>
        <v>1</v>
      </c>
      <c r="M689">
        <f>IF(AND(H689=1,I689&lt;='OS-DORAEN'!$B$6,J689&lt;='OS-DORAEN'!$B$5,L689=1),1,0)</f>
        <v>1</v>
      </c>
      <c r="N689" t="str">
        <f t="shared" si="10"/>
        <v>R/X</v>
      </c>
    </row>
    <row r="690" spans="1:14" ht="15" customHeight="1" x14ac:dyDescent="0.35">
      <c r="A690">
        <v>61</v>
      </c>
      <c r="B690">
        <v>150</v>
      </c>
      <c r="C690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Master'!$F:$F,B690),"")</f>
        <v>292</v>
      </c>
      <c r="D690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Master'!$F:$F,B690),"")</f>
        <v>0.26500000000000001</v>
      </c>
      <c r="E690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Master'!$F:$F,B690),"")</f>
        <v>0.26500000000000001</v>
      </c>
      <c r="F690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Master'!$F:$F,B690),"")</f>
        <v>7.1999999999999995E-2</v>
      </c>
      <c r="G690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Master'!$F:$F,B690),"")</f>
        <v>143</v>
      </c>
      <c r="H690">
        <f>IF(AND(ISNUMBER(C690),C690&gt;='Bulk Calculator'!U61/('Bulk Calculator'!J61*'Bulk Calculator'!L61)),1,0)</f>
        <v>1</v>
      </c>
      <c r="I690">
        <f>IFERROR(IF(AND(ISNUMBER(E690),ISNUMBER(F690),E690&gt;0,F690&gt;0),SQRT(3)*'Bulk Calculator'!O61*'Bulk Calculator'!AA61*((E690*'Bulk Calculator'!Q61)+(F690*SQRT(1-'Bulk Calculator'!Q61^2)))/'Bulk Calculator'!J61/'Bulk Calculator'!K61*100,D690*'Bulk Calculator'!AA61*'Bulk Calculator'!O61/'Bulk Calculator'!J61/'Bulk Calculator'!K61*100),"")</f>
        <v>0</v>
      </c>
      <c r="J690">
        <f>IFERROR(IF(AND(ISNUMBER(E690),ISNUMBER(F690),E690&gt;0,F690&gt;0),SQRT(3)*'Bulk Calculator'!O61*'Bulk Calculator'!U61*((E690*'Bulk Calculator'!M61)+(F690*SQRT(1-'Bulk Calculator'!M61^2)))/'Bulk Calculator'!J61/'Bulk Calculator'!K61*100,D690*'Bulk Calculator'!U61*'Bulk Calculator'!O61/'Bulk Calculator'!J61/'Bulk Calculator'!K61*100),"")</f>
        <v>0</v>
      </c>
      <c r="K690">
        <f>IFERROR(G690*B690*'Bulk Calculator'!J61/SQRT('Bulk Calculator'!S61)/1000,"")</f>
        <v>47.963658117370493</v>
      </c>
      <c r="L690">
        <f>IF(OR('Bulk Calculator'!R61="",'Bulk Calculator'!S61="",G690=""),0,IF(K690&gt;='Bulk Calculator'!R61,1,0))</f>
        <v>1</v>
      </c>
      <c r="M690">
        <f>IF(AND(H690=1,I690&lt;='OS-DORAEN'!$B$6,J690&lt;='OS-DORAEN'!$B$5,L690=1),1,0)</f>
        <v>1</v>
      </c>
      <c r="N690" t="str">
        <f t="shared" si="10"/>
        <v>R/X</v>
      </c>
    </row>
    <row r="691" spans="1:14" ht="15" customHeight="1" x14ac:dyDescent="0.35">
      <c r="A691">
        <v>61</v>
      </c>
      <c r="B691">
        <v>120</v>
      </c>
      <c r="C691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Master'!$F:$F,B691),"")</f>
        <v>257</v>
      </c>
      <c r="D691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Master'!$F:$F,B691),"")</f>
        <v>0.32500000000000001</v>
      </c>
      <c r="E691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Master'!$F:$F,B691),"")</f>
        <v>0.32500000000000001</v>
      </c>
      <c r="F691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Master'!$F:$F,B691),"")</f>
        <v>7.1999999999999995E-2</v>
      </c>
      <c r="G691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Master'!$F:$F,B691),"")</f>
        <v>143</v>
      </c>
      <c r="H691">
        <f>IF(AND(ISNUMBER(C691),C691&gt;='Bulk Calculator'!U61/('Bulk Calculator'!J61*'Bulk Calculator'!L61)),1,0)</f>
        <v>1</v>
      </c>
      <c r="I691">
        <f>IFERROR(IF(AND(ISNUMBER(E691),ISNUMBER(F691),E691&gt;0,F691&gt;0),SQRT(3)*'Bulk Calculator'!O61*'Bulk Calculator'!AA61*((E691*'Bulk Calculator'!Q61)+(F691*SQRT(1-'Bulk Calculator'!Q61^2)))/'Bulk Calculator'!J61/'Bulk Calculator'!K61*100,D691*'Bulk Calculator'!AA61*'Bulk Calculator'!O61/'Bulk Calculator'!J61/'Bulk Calculator'!K61*100),"")</f>
        <v>0</v>
      </c>
      <c r="J691">
        <f>IFERROR(IF(AND(ISNUMBER(E691),ISNUMBER(F691),E691&gt;0,F691&gt;0),SQRT(3)*'Bulk Calculator'!O61*'Bulk Calculator'!U61*((E691*'Bulk Calculator'!M61)+(F691*SQRT(1-'Bulk Calculator'!M61^2)))/'Bulk Calculator'!J61/'Bulk Calculator'!K61*100,D691*'Bulk Calculator'!U61*'Bulk Calculator'!O61/'Bulk Calculator'!J61/'Bulk Calculator'!K61*100),"")</f>
        <v>0</v>
      </c>
      <c r="K691">
        <f>IFERROR(G691*B691*'Bulk Calculator'!J61/SQRT('Bulk Calculator'!S61)/1000,"")</f>
        <v>38.370926493896391</v>
      </c>
      <c r="L691">
        <f>IF(OR('Bulk Calculator'!R61="",'Bulk Calculator'!S61="",G691=""),0,IF(K691&gt;='Bulk Calculator'!R61,1,0))</f>
        <v>1</v>
      </c>
      <c r="M691">
        <f>IF(AND(H691=1,I691&lt;='OS-DORAEN'!$B$6,J691&lt;='OS-DORAEN'!$B$5,L691=1),1,0)</f>
        <v>1</v>
      </c>
      <c r="N691" t="str">
        <f t="shared" si="10"/>
        <v>R/X</v>
      </c>
    </row>
    <row r="692" spans="1:14" ht="15" customHeight="1" x14ac:dyDescent="0.35">
      <c r="A692">
        <v>61</v>
      </c>
      <c r="B692">
        <v>95</v>
      </c>
      <c r="C692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Master'!$F:$F,B692),"")</f>
        <v>221</v>
      </c>
      <c r="D692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Master'!$F:$F,B692),"")</f>
        <v>0.41</v>
      </c>
      <c r="E692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Master'!$F:$F,B692),"")</f>
        <v>0.41</v>
      </c>
      <c r="F692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Master'!$F:$F,B692),"")</f>
        <v>7.3999999999999996E-2</v>
      </c>
      <c r="G692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Master'!$F:$F,B692),"")</f>
        <v>143</v>
      </c>
      <c r="H692">
        <f>IF(AND(ISNUMBER(C692),C692&gt;='Bulk Calculator'!U61/('Bulk Calculator'!J61*'Bulk Calculator'!L61)),1,0)</f>
        <v>1</v>
      </c>
      <c r="I692">
        <f>IFERROR(IF(AND(ISNUMBER(E692),ISNUMBER(F692),E692&gt;0,F692&gt;0),SQRT(3)*'Bulk Calculator'!O61*'Bulk Calculator'!AA61*((E692*'Bulk Calculator'!Q61)+(F692*SQRT(1-'Bulk Calculator'!Q61^2)))/'Bulk Calculator'!J61/'Bulk Calculator'!K61*100,D692*'Bulk Calculator'!AA61*'Bulk Calculator'!O61/'Bulk Calculator'!J61/'Bulk Calculator'!K61*100),"")</f>
        <v>0</v>
      </c>
      <c r="J692">
        <f>IFERROR(IF(AND(ISNUMBER(E692),ISNUMBER(F692),E692&gt;0,F692&gt;0),SQRT(3)*'Bulk Calculator'!O61*'Bulk Calculator'!U61*((E692*'Bulk Calculator'!M61)+(F692*SQRT(1-'Bulk Calculator'!M61^2)))/'Bulk Calculator'!J61/'Bulk Calculator'!K61*100,D692*'Bulk Calculator'!U61*'Bulk Calculator'!O61/'Bulk Calculator'!J61/'Bulk Calculator'!K61*100),"")</f>
        <v>0</v>
      </c>
      <c r="K692">
        <f>IFERROR(G692*B692*'Bulk Calculator'!J61/SQRT('Bulk Calculator'!S61)/1000,"")</f>
        <v>30.376983474334644</v>
      </c>
      <c r="L692">
        <f>IF(OR('Bulk Calculator'!R61="",'Bulk Calculator'!S61="",G692=""),0,IF(K692&gt;='Bulk Calculator'!R61,1,0))</f>
        <v>1</v>
      </c>
      <c r="M692">
        <f>IF(AND(H692=1,I692&lt;='OS-DORAEN'!$B$6,J692&lt;='OS-DORAEN'!$B$5,L692=1),1,0)</f>
        <v>1</v>
      </c>
      <c r="N692" t="str">
        <f t="shared" si="10"/>
        <v>R/X</v>
      </c>
    </row>
    <row r="693" spans="1:14" ht="15" customHeight="1" x14ac:dyDescent="0.35">
      <c r="A693">
        <v>61</v>
      </c>
      <c r="B693">
        <v>70</v>
      </c>
      <c r="C693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Master'!$F:$F,B693),"")</f>
        <v>179</v>
      </c>
      <c r="D693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Master'!$F:$F,B693),"")</f>
        <v>0.56699999999999995</v>
      </c>
      <c r="E693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Master'!$F:$F,B693),"")</f>
        <v>0.56699999999999995</v>
      </c>
      <c r="F693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Master'!$F:$F,B693),"")</f>
        <v>7.6999999999999999E-2</v>
      </c>
      <c r="G693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Master'!$F:$F,B693),"")</f>
        <v>143</v>
      </c>
      <c r="H693">
        <f>IF(AND(ISNUMBER(C693),C693&gt;='Bulk Calculator'!U61/('Bulk Calculator'!J61*'Bulk Calculator'!L61)),1,0)</f>
        <v>1</v>
      </c>
      <c r="I693">
        <f>IFERROR(IF(AND(ISNUMBER(E693),ISNUMBER(F693),E693&gt;0,F693&gt;0),SQRT(3)*'Bulk Calculator'!O61*'Bulk Calculator'!AA61*((E693*'Bulk Calculator'!Q61)+(F693*SQRT(1-'Bulk Calculator'!Q61^2)))/'Bulk Calculator'!J61/'Bulk Calculator'!K61*100,D693*'Bulk Calculator'!AA61*'Bulk Calculator'!O61/'Bulk Calculator'!J61/'Bulk Calculator'!K61*100),"")</f>
        <v>0</v>
      </c>
      <c r="J693">
        <f>IFERROR(IF(AND(ISNUMBER(E693),ISNUMBER(F693),E693&gt;0,F693&gt;0),SQRT(3)*'Bulk Calculator'!O61*'Bulk Calculator'!U61*((E693*'Bulk Calculator'!M61)+(F693*SQRT(1-'Bulk Calculator'!M61^2)))/'Bulk Calculator'!J61/'Bulk Calculator'!K61*100,D693*'Bulk Calculator'!U61*'Bulk Calculator'!O61/'Bulk Calculator'!J61/'Bulk Calculator'!K61*100),"")</f>
        <v>0</v>
      </c>
      <c r="K693">
        <f>IFERROR(G693*B693*'Bulk Calculator'!J61/SQRT('Bulk Calculator'!S61)/1000,"")</f>
        <v>22.383040454772893</v>
      </c>
      <c r="L693">
        <f>IF(OR('Bulk Calculator'!R61="",'Bulk Calculator'!S61="",G693=""),0,IF(K693&gt;='Bulk Calculator'!R61,1,0))</f>
        <v>1</v>
      </c>
      <c r="M693">
        <f>IF(AND(H693=1,I693&lt;='OS-DORAEN'!$B$6,J693&lt;='OS-DORAEN'!$B$5,L693=1),1,0)</f>
        <v>1</v>
      </c>
      <c r="N693" t="str">
        <f t="shared" si="10"/>
        <v>R/X</v>
      </c>
    </row>
    <row r="694" spans="1:14" ht="15" customHeight="1" x14ac:dyDescent="0.35">
      <c r="A694">
        <v>61</v>
      </c>
      <c r="B694">
        <v>50</v>
      </c>
      <c r="C694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Master'!$F:$F,B694),"")</f>
        <v>142</v>
      </c>
      <c r="D694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Master'!$F:$F,B694),"")</f>
        <v>0.82</v>
      </c>
      <c r="E694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Master'!$F:$F,B694),"")</f>
        <v>0.82</v>
      </c>
      <c r="F694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Master'!$F:$F,B694),"")</f>
        <v>7.8E-2</v>
      </c>
      <c r="G694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Master'!$F:$F,B694),"")</f>
        <v>143</v>
      </c>
      <c r="H694">
        <f>IF(AND(ISNUMBER(C694),C694&gt;='Bulk Calculator'!U61/('Bulk Calculator'!J61*'Bulk Calculator'!L61)),1,0)</f>
        <v>1</v>
      </c>
      <c r="I694">
        <f>IFERROR(IF(AND(ISNUMBER(E694),ISNUMBER(F694),E694&gt;0,F694&gt;0),SQRT(3)*'Bulk Calculator'!O61*'Bulk Calculator'!AA61*((E694*'Bulk Calculator'!Q61)+(F694*SQRT(1-'Bulk Calculator'!Q61^2)))/'Bulk Calculator'!J61/'Bulk Calculator'!K61*100,D694*'Bulk Calculator'!AA61*'Bulk Calculator'!O61/'Bulk Calculator'!J61/'Bulk Calculator'!K61*100),"")</f>
        <v>0</v>
      </c>
      <c r="J694">
        <f>IFERROR(IF(AND(ISNUMBER(E694),ISNUMBER(F694),E694&gt;0,F694&gt;0),SQRT(3)*'Bulk Calculator'!O61*'Bulk Calculator'!U61*((E694*'Bulk Calculator'!M61)+(F694*SQRT(1-'Bulk Calculator'!M61^2)))/'Bulk Calculator'!J61/'Bulk Calculator'!K61*100,D694*'Bulk Calculator'!U61*'Bulk Calculator'!O61/'Bulk Calculator'!J61/'Bulk Calculator'!K61*100),"")</f>
        <v>0</v>
      </c>
      <c r="K694">
        <f>IFERROR(G694*B694*'Bulk Calculator'!J61/SQRT('Bulk Calculator'!S61)/1000,"")</f>
        <v>15.987886039123497</v>
      </c>
      <c r="L694">
        <f>IF(OR('Bulk Calculator'!R61="",'Bulk Calculator'!S61="",G694=""),0,IF(K694&gt;='Bulk Calculator'!R61,1,0))</f>
        <v>1</v>
      </c>
      <c r="M694">
        <f>IF(AND(H694=1,I694&lt;='OS-DORAEN'!$B$6,J694&lt;='OS-DORAEN'!$B$5,L694=1),1,0)</f>
        <v>1</v>
      </c>
      <c r="N694" t="str">
        <f t="shared" si="10"/>
        <v>R/X</v>
      </c>
    </row>
    <row r="695" spans="1:14" ht="15" customHeight="1" x14ac:dyDescent="0.35">
      <c r="A695">
        <v>61</v>
      </c>
      <c r="B695">
        <v>35</v>
      </c>
      <c r="C695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Master'!$F:$F,B695),"")</f>
        <v>117</v>
      </c>
      <c r="D695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Master'!$F:$F,B695),"")</f>
        <v>1.1100000000000001</v>
      </c>
      <c r="E695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Master'!$F:$F,B695),"")</f>
        <v>1.1100000000000001</v>
      </c>
      <c r="F695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Master'!$F:$F,B695),"")</f>
        <v>0.08</v>
      </c>
      <c r="G695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Master'!$F:$F,B695),"")</f>
        <v>143</v>
      </c>
      <c r="H695">
        <f>IF(AND(ISNUMBER(C695),C695&gt;='Bulk Calculator'!U61/('Bulk Calculator'!J61*'Bulk Calculator'!L61)),1,0)</f>
        <v>1</v>
      </c>
      <c r="I695">
        <f>IFERROR(IF(AND(ISNUMBER(E695),ISNUMBER(F695),E695&gt;0,F695&gt;0),SQRT(3)*'Bulk Calculator'!O61*'Bulk Calculator'!AA61*((E695*'Bulk Calculator'!Q61)+(F695*SQRT(1-'Bulk Calculator'!Q61^2)))/'Bulk Calculator'!J61/'Bulk Calculator'!K61*100,D695*'Bulk Calculator'!AA61*'Bulk Calculator'!O61/'Bulk Calculator'!J61/'Bulk Calculator'!K61*100),"")</f>
        <v>0</v>
      </c>
      <c r="J695">
        <f>IFERROR(IF(AND(ISNUMBER(E695),ISNUMBER(F695),E695&gt;0,F695&gt;0),SQRT(3)*'Bulk Calculator'!O61*'Bulk Calculator'!U61*((E695*'Bulk Calculator'!M61)+(F695*SQRT(1-'Bulk Calculator'!M61^2)))/'Bulk Calculator'!J61/'Bulk Calculator'!K61*100,D695*'Bulk Calculator'!U61*'Bulk Calculator'!O61/'Bulk Calculator'!J61/'Bulk Calculator'!K61*100),"")</f>
        <v>0</v>
      </c>
      <c r="K695">
        <f>IFERROR(G695*B695*'Bulk Calculator'!J61/SQRT('Bulk Calculator'!S61)/1000,"")</f>
        <v>11.191520227386446</v>
      </c>
      <c r="L695">
        <f>IF(OR('Bulk Calculator'!R61="",'Bulk Calculator'!S61="",G695=""),0,IF(K695&gt;='Bulk Calculator'!R61,1,0))</f>
        <v>1</v>
      </c>
      <c r="M695">
        <f>IF(AND(H695=1,I695&lt;='OS-DORAEN'!$B$6,J695&lt;='OS-DORAEN'!$B$5,L695=1),1,0)</f>
        <v>1</v>
      </c>
      <c r="N695" t="str">
        <f t="shared" si="10"/>
        <v>R/X</v>
      </c>
    </row>
    <row r="696" spans="1:14" ht="15" customHeight="1" x14ac:dyDescent="0.35">
      <c r="A696">
        <v>61</v>
      </c>
      <c r="B696">
        <v>25</v>
      </c>
      <c r="C696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Master'!$F:$F,B696),"")</f>
        <v>96</v>
      </c>
      <c r="D696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Master'!$F:$F,B696),"")</f>
        <v>1.54</v>
      </c>
      <c r="E696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Master'!$F:$F,B696),"")</f>
        <v>1.54</v>
      </c>
      <c r="F696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Master'!$F:$F,B696),"")</f>
        <v>0.08</v>
      </c>
      <c r="G696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Master'!$F:$F,B696),"")</f>
        <v>143</v>
      </c>
      <c r="H696">
        <f>IF(AND(ISNUMBER(C696),C696&gt;='Bulk Calculator'!U61/('Bulk Calculator'!J61*'Bulk Calculator'!L61)),1,0)</f>
        <v>1</v>
      </c>
      <c r="I696">
        <f>IFERROR(IF(AND(ISNUMBER(E696),ISNUMBER(F696),E696&gt;0,F696&gt;0),SQRT(3)*'Bulk Calculator'!O61*'Bulk Calculator'!AA61*((E696*'Bulk Calculator'!Q61)+(F696*SQRT(1-'Bulk Calculator'!Q61^2)))/'Bulk Calculator'!J61/'Bulk Calculator'!K61*100,D696*'Bulk Calculator'!AA61*'Bulk Calculator'!O61/'Bulk Calculator'!J61/'Bulk Calculator'!K61*100),"")</f>
        <v>0</v>
      </c>
      <c r="J696">
        <f>IFERROR(IF(AND(ISNUMBER(E696),ISNUMBER(F696),E696&gt;0,F696&gt;0),SQRT(3)*'Bulk Calculator'!O61*'Bulk Calculator'!U61*((E696*'Bulk Calculator'!M61)+(F696*SQRT(1-'Bulk Calculator'!M61^2)))/'Bulk Calculator'!J61/'Bulk Calculator'!K61*100,D696*'Bulk Calculator'!U61*'Bulk Calculator'!O61/'Bulk Calculator'!J61/'Bulk Calculator'!K61*100),"")</f>
        <v>0</v>
      </c>
      <c r="K696">
        <f>IFERROR(G696*B696*'Bulk Calculator'!J61/SQRT('Bulk Calculator'!S61)/1000,"")</f>
        <v>7.9939430195617485</v>
      </c>
      <c r="L696">
        <f>IF(OR('Bulk Calculator'!R61="",'Bulk Calculator'!S61="",G696=""),0,IF(K696&gt;='Bulk Calculator'!R61,1,0))</f>
        <v>1</v>
      </c>
      <c r="M696">
        <f>IF(AND(H696=1,I696&lt;='OS-DORAEN'!$B$6,J696&lt;='OS-DORAEN'!$B$5,L696=1),1,0)</f>
        <v>1</v>
      </c>
      <c r="N696" t="str">
        <f t="shared" si="10"/>
        <v>R/X</v>
      </c>
    </row>
    <row r="697" spans="1:14" ht="15" customHeight="1" x14ac:dyDescent="0.35">
      <c r="A697">
        <v>61</v>
      </c>
      <c r="B697">
        <v>16</v>
      </c>
      <c r="C697">
        <f>IFERROR(SUMIFS('Cable Data Master'!$G:$G,'Cable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Master'!$F:$F,B697),"")</f>
        <v>0</v>
      </c>
      <c r="D697">
        <f>IFERROR(SUMIFS('Cable Data Master'!$K:$K,'Cable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Master'!$F:$F,B697),"")</f>
        <v>0</v>
      </c>
      <c r="E697">
        <f>IFERROR(SUMIFS('Cable Data Master'!$H:$H,'Cable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Master'!$F:$F,B697),"")</f>
        <v>0</v>
      </c>
      <c r="F697">
        <f>IFERROR(SUMIFS('Cable Data Master'!$I:$I,'Cable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Master'!$F:$F,B697),"")</f>
        <v>0</v>
      </c>
      <c r="G697">
        <f>IFERROR(SUMIFS('Cable Data Master'!$J:$J,'Cable Data Master'!$A:$A,'Bulk Calculator'!$BF61,'Cable Data Master'!$B:$B,'Bulk Calculator'!$BG61,'Cable Data Master'!$C:$C,'Bulk Calculator'!$BH61,'Cable Data Master'!$D:$D,'Bulk Calculator'!$BI61,'Cable Data Master'!$E:$E,'Bulk Calculator'!$BJ61,'Cable Data Master'!$F:$F,B697),"")</f>
        <v>0</v>
      </c>
      <c r="H697">
        <f>IF(AND(ISNUMBER(C697),C697&gt;='Bulk Calculator'!U61/('Bulk Calculator'!J61*'Bulk Calculator'!L61)),1,0)</f>
        <v>1</v>
      </c>
      <c r="I697">
        <f>IFERROR(IF(AND(ISNUMBER(E697),ISNUMBER(F697),E697&gt;0,F697&gt;0),SQRT(3)*'Bulk Calculator'!O61*'Bulk Calculator'!AA61*((E697*'Bulk Calculator'!Q61)+(F697*SQRT(1-'Bulk Calculator'!Q61^2)))/'Bulk Calculator'!J61/'Bulk Calculator'!K61*100,D697*'Bulk Calculator'!AA61*'Bulk Calculator'!O61/'Bulk Calculator'!J61/'Bulk Calculator'!K61*100),"")</f>
        <v>0</v>
      </c>
      <c r="J697">
        <f>IFERROR(IF(AND(ISNUMBER(E697),ISNUMBER(F697),E697&gt;0,F697&gt;0),SQRT(3)*'Bulk Calculator'!O61*'Bulk Calculator'!U61*((E697*'Bulk Calculator'!M61)+(F697*SQRT(1-'Bulk Calculator'!M61^2)))/'Bulk Calculator'!J61/'Bulk Calculator'!K61*100,D697*'Bulk Calculator'!U61*'Bulk Calculator'!O61/'Bulk Calculator'!J61/'Bulk Calculator'!K61*100),"")</f>
        <v>0</v>
      </c>
      <c r="K697">
        <f>IFERROR(G697*B697*'Bulk Calculator'!J61/SQRT('Bulk Calculator'!S61)/1000,"")</f>
        <v>0</v>
      </c>
      <c r="L697">
        <f>IF(OR('Bulk Calculator'!R61="",'Bulk Calculator'!S61="",G697=""),0,IF(K697&gt;='Bulk Calculator'!R61,1,0))</f>
        <v>1</v>
      </c>
      <c r="M697">
        <f>IF(AND(H697=1,I697&lt;='OS-DORAEN'!$B$6,J697&lt;='OS-DORAEN'!$B$5,L697=1),1,0)</f>
        <v>1</v>
      </c>
      <c r="N697" t="str">
        <f t="shared" si="10"/>
        <v>Manufacturer VD Ref</v>
      </c>
    </row>
    <row r="698" spans="1:14" ht="15" customHeight="1" x14ac:dyDescent="0.35">
      <c r="A698">
        <v>62</v>
      </c>
      <c r="B698">
        <v>400</v>
      </c>
      <c r="C698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Master'!$F:$F,B698),"")</f>
        <v>530</v>
      </c>
      <c r="D698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Master'!$F:$F,B698),"")</f>
        <v>0.1023</v>
      </c>
      <c r="E698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Master'!$F:$F,B698),"")</f>
        <v>0.1023</v>
      </c>
      <c r="F698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Master'!$F:$F,B698),"")</f>
        <v>7.0000000000000007E-2</v>
      </c>
      <c r="G698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Master'!$F:$F,B698),"")</f>
        <v>143</v>
      </c>
      <c r="H698">
        <f>IF(AND(ISNUMBER(C698),C698&gt;='Bulk Calculator'!U62/('Bulk Calculator'!J62*'Bulk Calculator'!L62)),1,0)</f>
        <v>1</v>
      </c>
      <c r="I698">
        <f>IFERROR(IF(AND(ISNUMBER(E698),ISNUMBER(F698),E698&gt;0,F698&gt;0),SQRT(3)*'Bulk Calculator'!O62*'Bulk Calculator'!AA62*((E698*'Bulk Calculator'!Q62)+(F698*SQRT(1-'Bulk Calculator'!Q62^2)))/'Bulk Calculator'!J62/'Bulk Calculator'!K62*100,D698*'Bulk Calculator'!AA62*'Bulk Calculator'!O62/'Bulk Calculator'!J62/'Bulk Calculator'!K62*100),"")</f>
        <v>0</v>
      </c>
      <c r="J698">
        <f>IFERROR(IF(AND(ISNUMBER(E698),ISNUMBER(F698),E698&gt;0,F698&gt;0),SQRT(3)*'Bulk Calculator'!O62*'Bulk Calculator'!U62*((E698*'Bulk Calculator'!M62)+(F698*SQRT(1-'Bulk Calculator'!M62^2)))/'Bulk Calculator'!J62/'Bulk Calculator'!K62*100,D698*'Bulk Calculator'!U62*'Bulk Calculator'!O62/'Bulk Calculator'!J62/'Bulk Calculator'!K62*100),"")</f>
        <v>0</v>
      </c>
      <c r="K698">
        <f>IFERROR(G698*B698*'Bulk Calculator'!J62/SQRT('Bulk Calculator'!S62)/1000,"")</f>
        <v>127.90308831298798</v>
      </c>
      <c r="L698">
        <f>IF(OR('Bulk Calculator'!R62="",'Bulk Calculator'!S62="",G698=""),0,IF(K698&gt;='Bulk Calculator'!R62,1,0))</f>
        <v>1</v>
      </c>
      <c r="M698">
        <f>IF(AND(H698=1,I698&lt;='OS-DORAEN'!$B$6,J698&lt;='OS-DORAEN'!$B$5,L698=1),1,0)</f>
        <v>1</v>
      </c>
      <c r="N698" t="str">
        <f t="shared" si="10"/>
        <v>R/X</v>
      </c>
    </row>
    <row r="699" spans="1:14" ht="15" customHeight="1" x14ac:dyDescent="0.35">
      <c r="A699">
        <v>62</v>
      </c>
      <c r="B699">
        <v>300</v>
      </c>
      <c r="C699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Master'!$F:$F,B699),"")</f>
        <v>455</v>
      </c>
      <c r="D699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Master'!$F:$F,B699),"")</f>
        <v>0.13</v>
      </c>
      <c r="E699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Master'!$F:$F,B699),"")</f>
        <v>0.13</v>
      </c>
      <c r="F699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Master'!$F:$F,B699),"")</f>
        <v>7.0999999999999994E-2</v>
      </c>
      <c r="G699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Master'!$F:$F,B699),"")</f>
        <v>143</v>
      </c>
      <c r="H699">
        <f>IF(AND(ISNUMBER(C699),C699&gt;='Bulk Calculator'!U62/('Bulk Calculator'!J62*'Bulk Calculator'!L62)),1,0)</f>
        <v>1</v>
      </c>
      <c r="I699">
        <f>IFERROR(IF(AND(ISNUMBER(E699),ISNUMBER(F699),E699&gt;0,F699&gt;0),SQRT(3)*'Bulk Calculator'!O62*'Bulk Calculator'!AA62*((E699*'Bulk Calculator'!Q62)+(F699*SQRT(1-'Bulk Calculator'!Q62^2)))/'Bulk Calculator'!J62/'Bulk Calculator'!K62*100,D699*'Bulk Calculator'!AA62*'Bulk Calculator'!O62/'Bulk Calculator'!J62/'Bulk Calculator'!K62*100),"")</f>
        <v>0</v>
      </c>
      <c r="J699">
        <f>IFERROR(IF(AND(ISNUMBER(E699),ISNUMBER(F699),E699&gt;0,F699&gt;0),SQRT(3)*'Bulk Calculator'!O62*'Bulk Calculator'!U62*((E699*'Bulk Calculator'!M62)+(F699*SQRT(1-'Bulk Calculator'!M62^2)))/'Bulk Calculator'!J62/'Bulk Calculator'!K62*100,D699*'Bulk Calculator'!U62*'Bulk Calculator'!O62/'Bulk Calculator'!J62/'Bulk Calculator'!K62*100),"")</f>
        <v>0</v>
      </c>
      <c r="K699">
        <f>IFERROR(G699*B699*'Bulk Calculator'!J62/SQRT('Bulk Calculator'!S62)/1000,"")</f>
        <v>95.927316234740985</v>
      </c>
      <c r="L699">
        <f>IF(OR('Bulk Calculator'!R62="",'Bulk Calculator'!S62="",G699=""),0,IF(K699&gt;='Bulk Calculator'!R62,1,0))</f>
        <v>1</v>
      </c>
      <c r="M699">
        <f>IF(AND(H699=1,I699&lt;='OS-DORAEN'!$B$6,J699&lt;='OS-DORAEN'!$B$5,L699=1),1,0)</f>
        <v>1</v>
      </c>
      <c r="N699" t="str">
        <f t="shared" si="10"/>
        <v>R/X</v>
      </c>
    </row>
    <row r="700" spans="1:14" ht="15" customHeight="1" x14ac:dyDescent="0.35">
      <c r="A700">
        <v>62</v>
      </c>
      <c r="B700">
        <v>240</v>
      </c>
      <c r="C700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Master'!$F:$F,B700),"")</f>
        <v>399</v>
      </c>
      <c r="D700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Master'!$F:$F,B700),"")</f>
        <v>0.16200000000000001</v>
      </c>
      <c r="E700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Master'!$F:$F,B700),"")</f>
        <v>0.16200000000000001</v>
      </c>
      <c r="F700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Master'!$F:$F,B700),"")</f>
        <v>7.1999999999999995E-2</v>
      </c>
      <c r="G700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Master'!$F:$F,B700),"")</f>
        <v>143</v>
      </c>
      <c r="H700">
        <f>IF(AND(ISNUMBER(C700),C700&gt;='Bulk Calculator'!U62/('Bulk Calculator'!J62*'Bulk Calculator'!L62)),1,0)</f>
        <v>1</v>
      </c>
      <c r="I700">
        <f>IFERROR(IF(AND(ISNUMBER(E700),ISNUMBER(F700),E700&gt;0,F700&gt;0),SQRT(3)*'Bulk Calculator'!O62*'Bulk Calculator'!AA62*((E700*'Bulk Calculator'!Q62)+(F700*SQRT(1-'Bulk Calculator'!Q62^2)))/'Bulk Calculator'!J62/'Bulk Calculator'!K62*100,D700*'Bulk Calculator'!AA62*'Bulk Calculator'!O62/'Bulk Calculator'!J62/'Bulk Calculator'!K62*100),"")</f>
        <v>0</v>
      </c>
      <c r="J700">
        <f>IFERROR(IF(AND(ISNUMBER(E700),ISNUMBER(F700),E700&gt;0,F700&gt;0),SQRT(3)*'Bulk Calculator'!O62*'Bulk Calculator'!U62*((E700*'Bulk Calculator'!M62)+(F700*SQRT(1-'Bulk Calculator'!M62^2)))/'Bulk Calculator'!J62/'Bulk Calculator'!K62*100,D700*'Bulk Calculator'!U62*'Bulk Calculator'!O62/'Bulk Calculator'!J62/'Bulk Calculator'!K62*100),"")</f>
        <v>0</v>
      </c>
      <c r="K700">
        <f>IFERROR(G700*B700*'Bulk Calculator'!J62/SQRT('Bulk Calculator'!S62)/1000,"")</f>
        <v>76.741852987792782</v>
      </c>
      <c r="L700">
        <f>IF(OR('Bulk Calculator'!R62="",'Bulk Calculator'!S62="",G700=""),0,IF(K700&gt;='Bulk Calculator'!R62,1,0))</f>
        <v>1</v>
      </c>
      <c r="M700">
        <f>IF(AND(H700=1,I700&lt;='OS-DORAEN'!$B$6,J700&lt;='OS-DORAEN'!$B$5,L700=1),1,0)</f>
        <v>1</v>
      </c>
      <c r="N700" t="str">
        <f t="shared" si="10"/>
        <v>R/X</v>
      </c>
    </row>
    <row r="701" spans="1:14" ht="15" customHeight="1" x14ac:dyDescent="0.35">
      <c r="A701">
        <v>62</v>
      </c>
      <c r="B701">
        <v>185</v>
      </c>
      <c r="C701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Master'!$F:$F,B701),"")</f>
        <v>337</v>
      </c>
      <c r="D701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Master'!$F:$F,B701),"")</f>
        <v>0.21099999999999999</v>
      </c>
      <c r="E701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Master'!$F:$F,B701),"")</f>
        <v>0.21099999999999999</v>
      </c>
      <c r="F701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Master'!$F:$F,B701),"")</f>
        <v>7.1999999999999995E-2</v>
      </c>
      <c r="G701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Master'!$F:$F,B701),"")</f>
        <v>143</v>
      </c>
      <c r="H701">
        <f>IF(AND(ISNUMBER(C701),C701&gt;='Bulk Calculator'!U62/('Bulk Calculator'!J62*'Bulk Calculator'!L62)),1,0)</f>
        <v>1</v>
      </c>
      <c r="I701">
        <f>IFERROR(IF(AND(ISNUMBER(E701),ISNUMBER(F701),E701&gt;0,F701&gt;0),SQRT(3)*'Bulk Calculator'!O62*'Bulk Calculator'!AA62*((E701*'Bulk Calculator'!Q62)+(F701*SQRT(1-'Bulk Calculator'!Q62^2)))/'Bulk Calculator'!J62/'Bulk Calculator'!K62*100,D701*'Bulk Calculator'!AA62*'Bulk Calculator'!O62/'Bulk Calculator'!J62/'Bulk Calculator'!K62*100),"")</f>
        <v>0</v>
      </c>
      <c r="J701">
        <f>IFERROR(IF(AND(ISNUMBER(E701),ISNUMBER(F701),E701&gt;0,F701&gt;0),SQRT(3)*'Bulk Calculator'!O62*'Bulk Calculator'!U62*((E701*'Bulk Calculator'!M62)+(F701*SQRT(1-'Bulk Calculator'!M62^2)))/'Bulk Calculator'!J62/'Bulk Calculator'!K62*100,D701*'Bulk Calculator'!U62*'Bulk Calculator'!O62/'Bulk Calculator'!J62/'Bulk Calculator'!K62*100),"")</f>
        <v>0</v>
      </c>
      <c r="K701">
        <f>IFERROR(G701*B701*'Bulk Calculator'!J62/SQRT('Bulk Calculator'!S62)/1000,"")</f>
        <v>59.155178344756941</v>
      </c>
      <c r="L701">
        <f>IF(OR('Bulk Calculator'!R62="",'Bulk Calculator'!S62="",G701=""),0,IF(K701&gt;='Bulk Calculator'!R62,1,0))</f>
        <v>1</v>
      </c>
      <c r="M701">
        <f>IF(AND(H701=1,I701&lt;='OS-DORAEN'!$B$6,J701&lt;='OS-DORAEN'!$B$5,L701=1),1,0)</f>
        <v>1</v>
      </c>
      <c r="N701" t="str">
        <f t="shared" si="10"/>
        <v>R/X</v>
      </c>
    </row>
    <row r="702" spans="1:14" ht="15" customHeight="1" x14ac:dyDescent="0.35">
      <c r="A702">
        <v>62</v>
      </c>
      <c r="B702">
        <v>150</v>
      </c>
      <c r="C702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Master'!$F:$F,B702),"")</f>
        <v>292</v>
      </c>
      <c r="D702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Master'!$F:$F,B702),"")</f>
        <v>0.26500000000000001</v>
      </c>
      <c r="E702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Master'!$F:$F,B702),"")</f>
        <v>0.26500000000000001</v>
      </c>
      <c r="F702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Master'!$F:$F,B702),"")</f>
        <v>7.1999999999999995E-2</v>
      </c>
      <c r="G702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Master'!$F:$F,B702),"")</f>
        <v>143</v>
      </c>
      <c r="H702">
        <f>IF(AND(ISNUMBER(C702),C702&gt;='Bulk Calculator'!U62/('Bulk Calculator'!J62*'Bulk Calculator'!L62)),1,0)</f>
        <v>1</v>
      </c>
      <c r="I702">
        <f>IFERROR(IF(AND(ISNUMBER(E702),ISNUMBER(F702),E702&gt;0,F702&gt;0),SQRT(3)*'Bulk Calculator'!O62*'Bulk Calculator'!AA62*((E702*'Bulk Calculator'!Q62)+(F702*SQRT(1-'Bulk Calculator'!Q62^2)))/'Bulk Calculator'!J62/'Bulk Calculator'!K62*100,D702*'Bulk Calculator'!AA62*'Bulk Calculator'!O62/'Bulk Calculator'!J62/'Bulk Calculator'!K62*100),"")</f>
        <v>0</v>
      </c>
      <c r="J702">
        <f>IFERROR(IF(AND(ISNUMBER(E702),ISNUMBER(F702),E702&gt;0,F702&gt;0),SQRT(3)*'Bulk Calculator'!O62*'Bulk Calculator'!U62*((E702*'Bulk Calculator'!M62)+(F702*SQRT(1-'Bulk Calculator'!M62^2)))/'Bulk Calculator'!J62/'Bulk Calculator'!K62*100,D702*'Bulk Calculator'!U62*'Bulk Calculator'!O62/'Bulk Calculator'!J62/'Bulk Calculator'!K62*100),"")</f>
        <v>0</v>
      </c>
      <c r="K702">
        <f>IFERROR(G702*B702*'Bulk Calculator'!J62/SQRT('Bulk Calculator'!S62)/1000,"")</f>
        <v>47.963658117370493</v>
      </c>
      <c r="L702">
        <f>IF(OR('Bulk Calculator'!R62="",'Bulk Calculator'!S62="",G702=""),0,IF(K702&gt;='Bulk Calculator'!R62,1,0))</f>
        <v>1</v>
      </c>
      <c r="M702">
        <f>IF(AND(H702=1,I702&lt;='OS-DORAEN'!$B$6,J702&lt;='OS-DORAEN'!$B$5,L702=1),1,0)</f>
        <v>1</v>
      </c>
      <c r="N702" t="str">
        <f t="shared" si="10"/>
        <v>R/X</v>
      </c>
    </row>
    <row r="703" spans="1:14" ht="15" customHeight="1" x14ac:dyDescent="0.35">
      <c r="A703">
        <v>62</v>
      </c>
      <c r="B703">
        <v>120</v>
      </c>
      <c r="C703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Master'!$F:$F,B703),"")</f>
        <v>257</v>
      </c>
      <c r="D703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Master'!$F:$F,B703),"")</f>
        <v>0.32500000000000001</v>
      </c>
      <c r="E703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Master'!$F:$F,B703),"")</f>
        <v>0.32500000000000001</v>
      </c>
      <c r="F703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Master'!$F:$F,B703),"")</f>
        <v>7.1999999999999995E-2</v>
      </c>
      <c r="G703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Master'!$F:$F,B703),"")</f>
        <v>143</v>
      </c>
      <c r="H703">
        <f>IF(AND(ISNUMBER(C703),C703&gt;='Bulk Calculator'!U62/('Bulk Calculator'!J62*'Bulk Calculator'!L62)),1,0)</f>
        <v>1</v>
      </c>
      <c r="I703">
        <f>IFERROR(IF(AND(ISNUMBER(E703),ISNUMBER(F703),E703&gt;0,F703&gt;0),SQRT(3)*'Bulk Calculator'!O62*'Bulk Calculator'!AA62*((E703*'Bulk Calculator'!Q62)+(F703*SQRT(1-'Bulk Calculator'!Q62^2)))/'Bulk Calculator'!J62/'Bulk Calculator'!K62*100,D703*'Bulk Calculator'!AA62*'Bulk Calculator'!O62/'Bulk Calculator'!J62/'Bulk Calculator'!K62*100),"")</f>
        <v>0</v>
      </c>
      <c r="J703">
        <f>IFERROR(IF(AND(ISNUMBER(E703),ISNUMBER(F703),E703&gt;0,F703&gt;0),SQRT(3)*'Bulk Calculator'!O62*'Bulk Calculator'!U62*((E703*'Bulk Calculator'!M62)+(F703*SQRT(1-'Bulk Calculator'!M62^2)))/'Bulk Calculator'!J62/'Bulk Calculator'!K62*100,D703*'Bulk Calculator'!U62*'Bulk Calculator'!O62/'Bulk Calculator'!J62/'Bulk Calculator'!K62*100),"")</f>
        <v>0</v>
      </c>
      <c r="K703">
        <f>IFERROR(G703*B703*'Bulk Calculator'!J62/SQRT('Bulk Calculator'!S62)/1000,"")</f>
        <v>38.370926493896391</v>
      </c>
      <c r="L703">
        <f>IF(OR('Bulk Calculator'!R62="",'Bulk Calculator'!S62="",G703=""),0,IF(K703&gt;='Bulk Calculator'!R62,1,0))</f>
        <v>1</v>
      </c>
      <c r="M703">
        <f>IF(AND(H703=1,I703&lt;='OS-DORAEN'!$B$6,J703&lt;='OS-DORAEN'!$B$5,L703=1),1,0)</f>
        <v>1</v>
      </c>
      <c r="N703" t="str">
        <f t="shared" si="10"/>
        <v>R/X</v>
      </c>
    </row>
    <row r="704" spans="1:14" ht="15" customHeight="1" x14ac:dyDescent="0.35">
      <c r="A704">
        <v>62</v>
      </c>
      <c r="B704">
        <v>95</v>
      </c>
      <c r="C704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Master'!$F:$F,B704),"")</f>
        <v>221</v>
      </c>
      <c r="D704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Master'!$F:$F,B704),"")</f>
        <v>0.41</v>
      </c>
      <c r="E704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Master'!$F:$F,B704),"")</f>
        <v>0.41</v>
      </c>
      <c r="F704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Master'!$F:$F,B704),"")</f>
        <v>7.3999999999999996E-2</v>
      </c>
      <c r="G704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Master'!$F:$F,B704),"")</f>
        <v>143</v>
      </c>
      <c r="H704">
        <f>IF(AND(ISNUMBER(C704),C704&gt;='Bulk Calculator'!U62/('Bulk Calculator'!J62*'Bulk Calculator'!L62)),1,0)</f>
        <v>1</v>
      </c>
      <c r="I704">
        <f>IFERROR(IF(AND(ISNUMBER(E704),ISNUMBER(F704),E704&gt;0,F704&gt;0),SQRT(3)*'Bulk Calculator'!O62*'Bulk Calculator'!AA62*((E704*'Bulk Calculator'!Q62)+(F704*SQRT(1-'Bulk Calculator'!Q62^2)))/'Bulk Calculator'!J62/'Bulk Calculator'!K62*100,D704*'Bulk Calculator'!AA62*'Bulk Calculator'!O62/'Bulk Calculator'!J62/'Bulk Calculator'!K62*100),"")</f>
        <v>0</v>
      </c>
      <c r="J704">
        <f>IFERROR(IF(AND(ISNUMBER(E704),ISNUMBER(F704),E704&gt;0,F704&gt;0),SQRT(3)*'Bulk Calculator'!O62*'Bulk Calculator'!U62*((E704*'Bulk Calculator'!M62)+(F704*SQRT(1-'Bulk Calculator'!M62^2)))/'Bulk Calculator'!J62/'Bulk Calculator'!K62*100,D704*'Bulk Calculator'!U62*'Bulk Calculator'!O62/'Bulk Calculator'!J62/'Bulk Calculator'!K62*100),"")</f>
        <v>0</v>
      </c>
      <c r="K704">
        <f>IFERROR(G704*B704*'Bulk Calculator'!J62/SQRT('Bulk Calculator'!S62)/1000,"")</f>
        <v>30.376983474334644</v>
      </c>
      <c r="L704">
        <f>IF(OR('Bulk Calculator'!R62="",'Bulk Calculator'!S62="",G704=""),0,IF(K704&gt;='Bulk Calculator'!R62,1,0))</f>
        <v>1</v>
      </c>
      <c r="M704">
        <f>IF(AND(H704=1,I704&lt;='OS-DORAEN'!$B$6,J704&lt;='OS-DORAEN'!$B$5,L704=1),1,0)</f>
        <v>1</v>
      </c>
      <c r="N704" t="str">
        <f t="shared" si="10"/>
        <v>R/X</v>
      </c>
    </row>
    <row r="705" spans="1:14" ht="15" customHeight="1" x14ac:dyDescent="0.35">
      <c r="A705">
        <v>62</v>
      </c>
      <c r="B705">
        <v>70</v>
      </c>
      <c r="C705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Master'!$F:$F,B705),"")</f>
        <v>179</v>
      </c>
      <c r="D705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Master'!$F:$F,B705),"")</f>
        <v>0.56699999999999995</v>
      </c>
      <c r="E705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Master'!$F:$F,B705),"")</f>
        <v>0.56699999999999995</v>
      </c>
      <c r="F705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Master'!$F:$F,B705),"")</f>
        <v>7.6999999999999999E-2</v>
      </c>
      <c r="G705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Master'!$F:$F,B705),"")</f>
        <v>143</v>
      </c>
      <c r="H705">
        <f>IF(AND(ISNUMBER(C705),C705&gt;='Bulk Calculator'!U62/('Bulk Calculator'!J62*'Bulk Calculator'!L62)),1,0)</f>
        <v>1</v>
      </c>
      <c r="I705">
        <f>IFERROR(IF(AND(ISNUMBER(E705),ISNUMBER(F705),E705&gt;0,F705&gt;0),SQRT(3)*'Bulk Calculator'!O62*'Bulk Calculator'!AA62*((E705*'Bulk Calculator'!Q62)+(F705*SQRT(1-'Bulk Calculator'!Q62^2)))/'Bulk Calculator'!J62/'Bulk Calculator'!K62*100,D705*'Bulk Calculator'!AA62*'Bulk Calculator'!O62/'Bulk Calculator'!J62/'Bulk Calculator'!K62*100),"")</f>
        <v>0</v>
      </c>
      <c r="J705">
        <f>IFERROR(IF(AND(ISNUMBER(E705),ISNUMBER(F705),E705&gt;0,F705&gt;0),SQRT(3)*'Bulk Calculator'!O62*'Bulk Calculator'!U62*((E705*'Bulk Calculator'!M62)+(F705*SQRT(1-'Bulk Calculator'!M62^2)))/'Bulk Calculator'!J62/'Bulk Calculator'!K62*100,D705*'Bulk Calculator'!U62*'Bulk Calculator'!O62/'Bulk Calculator'!J62/'Bulk Calculator'!K62*100),"")</f>
        <v>0</v>
      </c>
      <c r="K705">
        <f>IFERROR(G705*B705*'Bulk Calculator'!J62/SQRT('Bulk Calculator'!S62)/1000,"")</f>
        <v>22.383040454772893</v>
      </c>
      <c r="L705">
        <f>IF(OR('Bulk Calculator'!R62="",'Bulk Calculator'!S62="",G705=""),0,IF(K705&gt;='Bulk Calculator'!R62,1,0))</f>
        <v>1</v>
      </c>
      <c r="M705">
        <f>IF(AND(H705=1,I705&lt;='OS-DORAEN'!$B$6,J705&lt;='OS-DORAEN'!$B$5,L705=1),1,0)</f>
        <v>1</v>
      </c>
      <c r="N705" t="str">
        <f t="shared" si="10"/>
        <v>R/X</v>
      </c>
    </row>
    <row r="706" spans="1:14" ht="15" customHeight="1" x14ac:dyDescent="0.35">
      <c r="A706">
        <v>62</v>
      </c>
      <c r="B706">
        <v>50</v>
      </c>
      <c r="C706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Master'!$F:$F,B706),"")</f>
        <v>142</v>
      </c>
      <c r="D706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Master'!$F:$F,B706),"")</f>
        <v>0.82</v>
      </c>
      <c r="E706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Master'!$F:$F,B706),"")</f>
        <v>0.82</v>
      </c>
      <c r="F706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Master'!$F:$F,B706),"")</f>
        <v>7.8E-2</v>
      </c>
      <c r="G706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Master'!$F:$F,B706),"")</f>
        <v>143</v>
      </c>
      <c r="H706">
        <f>IF(AND(ISNUMBER(C706),C706&gt;='Bulk Calculator'!U62/('Bulk Calculator'!J62*'Bulk Calculator'!L62)),1,0)</f>
        <v>1</v>
      </c>
      <c r="I706">
        <f>IFERROR(IF(AND(ISNUMBER(E706),ISNUMBER(F706),E706&gt;0,F706&gt;0),SQRT(3)*'Bulk Calculator'!O62*'Bulk Calculator'!AA62*((E706*'Bulk Calculator'!Q62)+(F706*SQRT(1-'Bulk Calculator'!Q62^2)))/'Bulk Calculator'!J62/'Bulk Calculator'!K62*100,D706*'Bulk Calculator'!AA62*'Bulk Calculator'!O62/'Bulk Calculator'!J62/'Bulk Calculator'!K62*100),"")</f>
        <v>0</v>
      </c>
      <c r="J706">
        <f>IFERROR(IF(AND(ISNUMBER(E706),ISNUMBER(F706),E706&gt;0,F706&gt;0),SQRT(3)*'Bulk Calculator'!O62*'Bulk Calculator'!U62*((E706*'Bulk Calculator'!M62)+(F706*SQRT(1-'Bulk Calculator'!M62^2)))/'Bulk Calculator'!J62/'Bulk Calculator'!K62*100,D706*'Bulk Calculator'!U62*'Bulk Calculator'!O62/'Bulk Calculator'!J62/'Bulk Calculator'!K62*100),"")</f>
        <v>0</v>
      </c>
      <c r="K706">
        <f>IFERROR(G706*B706*'Bulk Calculator'!J62/SQRT('Bulk Calculator'!S62)/1000,"")</f>
        <v>15.987886039123497</v>
      </c>
      <c r="L706">
        <f>IF(OR('Bulk Calculator'!R62="",'Bulk Calculator'!S62="",G706=""),0,IF(K706&gt;='Bulk Calculator'!R62,1,0))</f>
        <v>1</v>
      </c>
      <c r="M706">
        <f>IF(AND(H706=1,I706&lt;='OS-DORAEN'!$B$6,J706&lt;='OS-DORAEN'!$B$5,L706=1),1,0)</f>
        <v>1</v>
      </c>
      <c r="N706" t="str">
        <f t="shared" ref="N706:N769" si="11">IF(AND(ISNUMBER(E706),ISNUMBER(F706),E706&gt;0,F706&gt;0),"R/X","Manufacturer VD Ref")</f>
        <v>R/X</v>
      </c>
    </row>
    <row r="707" spans="1:14" ht="15" customHeight="1" x14ac:dyDescent="0.35">
      <c r="A707">
        <v>62</v>
      </c>
      <c r="B707">
        <v>35</v>
      </c>
      <c r="C707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Master'!$F:$F,B707),"")</f>
        <v>117</v>
      </c>
      <c r="D707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Master'!$F:$F,B707),"")</f>
        <v>1.1100000000000001</v>
      </c>
      <c r="E707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Master'!$F:$F,B707),"")</f>
        <v>1.1100000000000001</v>
      </c>
      <c r="F707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Master'!$F:$F,B707),"")</f>
        <v>0.08</v>
      </c>
      <c r="G707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Master'!$F:$F,B707),"")</f>
        <v>143</v>
      </c>
      <c r="H707">
        <f>IF(AND(ISNUMBER(C707),C707&gt;='Bulk Calculator'!U62/('Bulk Calculator'!J62*'Bulk Calculator'!L62)),1,0)</f>
        <v>1</v>
      </c>
      <c r="I707">
        <f>IFERROR(IF(AND(ISNUMBER(E707),ISNUMBER(F707),E707&gt;0,F707&gt;0),SQRT(3)*'Bulk Calculator'!O62*'Bulk Calculator'!AA62*((E707*'Bulk Calculator'!Q62)+(F707*SQRT(1-'Bulk Calculator'!Q62^2)))/'Bulk Calculator'!J62/'Bulk Calculator'!K62*100,D707*'Bulk Calculator'!AA62*'Bulk Calculator'!O62/'Bulk Calculator'!J62/'Bulk Calculator'!K62*100),"")</f>
        <v>0</v>
      </c>
      <c r="J707">
        <f>IFERROR(IF(AND(ISNUMBER(E707),ISNUMBER(F707),E707&gt;0,F707&gt;0),SQRT(3)*'Bulk Calculator'!O62*'Bulk Calculator'!U62*((E707*'Bulk Calculator'!M62)+(F707*SQRT(1-'Bulk Calculator'!M62^2)))/'Bulk Calculator'!J62/'Bulk Calculator'!K62*100,D707*'Bulk Calculator'!U62*'Bulk Calculator'!O62/'Bulk Calculator'!J62/'Bulk Calculator'!K62*100),"")</f>
        <v>0</v>
      </c>
      <c r="K707">
        <f>IFERROR(G707*B707*'Bulk Calculator'!J62/SQRT('Bulk Calculator'!S62)/1000,"")</f>
        <v>11.191520227386446</v>
      </c>
      <c r="L707">
        <f>IF(OR('Bulk Calculator'!R62="",'Bulk Calculator'!S62="",G707=""),0,IF(K707&gt;='Bulk Calculator'!R62,1,0))</f>
        <v>1</v>
      </c>
      <c r="M707">
        <f>IF(AND(H707=1,I707&lt;='OS-DORAEN'!$B$6,J707&lt;='OS-DORAEN'!$B$5,L707=1),1,0)</f>
        <v>1</v>
      </c>
      <c r="N707" t="str">
        <f t="shared" si="11"/>
        <v>R/X</v>
      </c>
    </row>
    <row r="708" spans="1:14" ht="15" customHeight="1" x14ac:dyDescent="0.35">
      <c r="A708">
        <v>62</v>
      </c>
      <c r="B708">
        <v>25</v>
      </c>
      <c r="C708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Master'!$F:$F,B708),"")</f>
        <v>96</v>
      </c>
      <c r="D708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Master'!$F:$F,B708),"")</f>
        <v>1.54</v>
      </c>
      <c r="E708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Master'!$F:$F,B708),"")</f>
        <v>1.54</v>
      </c>
      <c r="F708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Master'!$F:$F,B708),"")</f>
        <v>0.08</v>
      </c>
      <c r="G708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Master'!$F:$F,B708),"")</f>
        <v>143</v>
      </c>
      <c r="H708">
        <f>IF(AND(ISNUMBER(C708),C708&gt;='Bulk Calculator'!U62/('Bulk Calculator'!J62*'Bulk Calculator'!L62)),1,0)</f>
        <v>1</v>
      </c>
      <c r="I708">
        <f>IFERROR(IF(AND(ISNUMBER(E708),ISNUMBER(F708),E708&gt;0,F708&gt;0),SQRT(3)*'Bulk Calculator'!O62*'Bulk Calculator'!AA62*((E708*'Bulk Calculator'!Q62)+(F708*SQRT(1-'Bulk Calculator'!Q62^2)))/'Bulk Calculator'!J62/'Bulk Calculator'!K62*100,D708*'Bulk Calculator'!AA62*'Bulk Calculator'!O62/'Bulk Calculator'!J62/'Bulk Calculator'!K62*100),"")</f>
        <v>0</v>
      </c>
      <c r="J708">
        <f>IFERROR(IF(AND(ISNUMBER(E708),ISNUMBER(F708),E708&gt;0,F708&gt;0),SQRT(3)*'Bulk Calculator'!O62*'Bulk Calculator'!U62*((E708*'Bulk Calculator'!M62)+(F708*SQRT(1-'Bulk Calculator'!M62^2)))/'Bulk Calculator'!J62/'Bulk Calculator'!K62*100,D708*'Bulk Calculator'!U62*'Bulk Calculator'!O62/'Bulk Calculator'!J62/'Bulk Calculator'!K62*100),"")</f>
        <v>0</v>
      </c>
      <c r="K708">
        <f>IFERROR(G708*B708*'Bulk Calculator'!J62/SQRT('Bulk Calculator'!S62)/1000,"")</f>
        <v>7.9939430195617485</v>
      </c>
      <c r="L708">
        <f>IF(OR('Bulk Calculator'!R62="",'Bulk Calculator'!S62="",G708=""),0,IF(K708&gt;='Bulk Calculator'!R62,1,0))</f>
        <v>1</v>
      </c>
      <c r="M708">
        <f>IF(AND(H708=1,I708&lt;='OS-DORAEN'!$B$6,J708&lt;='OS-DORAEN'!$B$5,L708=1),1,0)</f>
        <v>1</v>
      </c>
      <c r="N708" t="str">
        <f t="shared" si="11"/>
        <v>R/X</v>
      </c>
    </row>
    <row r="709" spans="1:14" ht="15" customHeight="1" x14ac:dyDescent="0.35">
      <c r="A709">
        <v>62</v>
      </c>
      <c r="B709">
        <v>16</v>
      </c>
      <c r="C709">
        <f>IFERROR(SUMIFS('Cable Data Master'!$G:$G,'Cable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Master'!$F:$F,B709),"")</f>
        <v>0</v>
      </c>
      <c r="D709">
        <f>IFERROR(SUMIFS('Cable Data Master'!$K:$K,'Cable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Master'!$F:$F,B709),"")</f>
        <v>0</v>
      </c>
      <c r="E709">
        <f>IFERROR(SUMIFS('Cable Data Master'!$H:$H,'Cable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Master'!$F:$F,B709),"")</f>
        <v>0</v>
      </c>
      <c r="F709">
        <f>IFERROR(SUMIFS('Cable Data Master'!$I:$I,'Cable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Master'!$F:$F,B709),"")</f>
        <v>0</v>
      </c>
      <c r="G709">
        <f>IFERROR(SUMIFS('Cable Data Master'!$J:$J,'Cable Data Master'!$A:$A,'Bulk Calculator'!$BF62,'Cable Data Master'!$B:$B,'Bulk Calculator'!$BG62,'Cable Data Master'!$C:$C,'Bulk Calculator'!$BH62,'Cable Data Master'!$D:$D,'Bulk Calculator'!$BI62,'Cable Data Master'!$E:$E,'Bulk Calculator'!$BJ62,'Cable Data Master'!$F:$F,B709),"")</f>
        <v>0</v>
      </c>
      <c r="H709">
        <f>IF(AND(ISNUMBER(C709),C709&gt;='Bulk Calculator'!U62/('Bulk Calculator'!J62*'Bulk Calculator'!L62)),1,0)</f>
        <v>1</v>
      </c>
      <c r="I709">
        <f>IFERROR(IF(AND(ISNUMBER(E709),ISNUMBER(F709),E709&gt;0,F709&gt;0),SQRT(3)*'Bulk Calculator'!O62*'Bulk Calculator'!AA62*((E709*'Bulk Calculator'!Q62)+(F709*SQRT(1-'Bulk Calculator'!Q62^2)))/'Bulk Calculator'!J62/'Bulk Calculator'!K62*100,D709*'Bulk Calculator'!AA62*'Bulk Calculator'!O62/'Bulk Calculator'!J62/'Bulk Calculator'!K62*100),"")</f>
        <v>0</v>
      </c>
      <c r="J709">
        <f>IFERROR(IF(AND(ISNUMBER(E709),ISNUMBER(F709),E709&gt;0,F709&gt;0),SQRT(3)*'Bulk Calculator'!O62*'Bulk Calculator'!U62*((E709*'Bulk Calculator'!M62)+(F709*SQRT(1-'Bulk Calculator'!M62^2)))/'Bulk Calculator'!J62/'Bulk Calculator'!K62*100,D709*'Bulk Calculator'!U62*'Bulk Calculator'!O62/'Bulk Calculator'!J62/'Bulk Calculator'!K62*100),"")</f>
        <v>0</v>
      </c>
      <c r="K709">
        <f>IFERROR(G709*B709*'Bulk Calculator'!J62/SQRT('Bulk Calculator'!S62)/1000,"")</f>
        <v>0</v>
      </c>
      <c r="L709">
        <f>IF(OR('Bulk Calculator'!R62="",'Bulk Calculator'!S62="",G709=""),0,IF(K709&gt;='Bulk Calculator'!R62,1,0))</f>
        <v>1</v>
      </c>
      <c r="M709">
        <f>IF(AND(H709=1,I709&lt;='OS-DORAEN'!$B$6,J709&lt;='OS-DORAEN'!$B$5,L709=1),1,0)</f>
        <v>1</v>
      </c>
      <c r="N709" t="str">
        <f t="shared" si="11"/>
        <v>Manufacturer VD Ref</v>
      </c>
    </row>
    <row r="710" spans="1:14" ht="15" customHeight="1" x14ac:dyDescent="0.35">
      <c r="A710">
        <v>63</v>
      </c>
      <c r="B710">
        <v>400</v>
      </c>
      <c r="C710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Master'!$F:$F,B710),"")</f>
        <v>530</v>
      </c>
      <c r="D710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Master'!$F:$F,B710),"")</f>
        <v>0.1023</v>
      </c>
      <c r="E710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Master'!$F:$F,B710),"")</f>
        <v>0.1023</v>
      </c>
      <c r="F710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Master'!$F:$F,B710),"")</f>
        <v>7.0000000000000007E-2</v>
      </c>
      <c r="G710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Master'!$F:$F,B710),"")</f>
        <v>143</v>
      </c>
      <c r="H710">
        <f>IF(AND(ISNUMBER(C710),C710&gt;='Bulk Calculator'!U63/('Bulk Calculator'!J63*'Bulk Calculator'!L63)),1,0)</f>
        <v>1</v>
      </c>
      <c r="I710">
        <f>IFERROR(IF(AND(ISNUMBER(E710),ISNUMBER(F710),E710&gt;0,F710&gt;0),SQRT(3)*'Bulk Calculator'!O63*'Bulk Calculator'!AA63*((E710*'Bulk Calculator'!Q63)+(F710*SQRT(1-'Bulk Calculator'!Q63^2)))/'Bulk Calculator'!J63/'Bulk Calculator'!K63*100,D710*'Bulk Calculator'!AA63*'Bulk Calculator'!O63/'Bulk Calculator'!J63/'Bulk Calculator'!K63*100),"")</f>
        <v>0</v>
      </c>
      <c r="J710">
        <f>IFERROR(IF(AND(ISNUMBER(E710),ISNUMBER(F710),E710&gt;0,F710&gt;0),SQRT(3)*'Bulk Calculator'!O63*'Bulk Calculator'!U63*((E710*'Bulk Calculator'!M63)+(F710*SQRT(1-'Bulk Calculator'!M63^2)))/'Bulk Calculator'!J63/'Bulk Calculator'!K63*100,D710*'Bulk Calculator'!U63*'Bulk Calculator'!O63/'Bulk Calculator'!J63/'Bulk Calculator'!K63*100),"")</f>
        <v>0</v>
      </c>
      <c r="K710">
        <f>IFERROR(G710*B710*'Bulk Calculator'!J63/SQRT('Bulk Calculator'!S63)/1000,"")</f>
        <v>127.90308831298798</v>
      </c>
      <c r="L710">
        <f>IF(OR('Bulk Calculator'!R63="",'Bulk Calculator'!S63="",G710=""),0,IF(K710&gt;='Bulk Calculator'!R63,1,0))</f>
        <v>1</v>
      </c>
      <c r="M710">
        <f>IF(AND(H710=1,I710&lt;='OS-DORAEN'!$B$6,J710&lt;='OS-DORAEN'!$B$5,L710=1),1,0)</f>
        <v>1</v>
      </c>
      <c r="N710" t="str">
        <f t="shared" si="11"/>
        <v>R/X</v>
      </c>
    </row>
    <row r="711" spans="1:14" ht="15" customHeight="1" x14ac:dyDescent="0.35">
      <c r="A711">
        <v>63</v>
      </c>
      <c r="B711">
        <v>300</v>
      </c>
      <c r="C711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Master'!$F:$F,B711),"")</f>
        <v>455</v>
      </c>
      <c r="D711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Master'!$F:$F,B711),"")</f>
        <v>0.13</v>
      </c>
      <c r="E711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Master'!$F:$F,B711),"")</f>
        <v>0.13</v>
      </c>
      <c r="F711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Master'!$F:$F,B711),"")</f>
        <v>7.0999999999999994E-2</v>
      </c>
      <c r="G711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Master'!$F:$F,B711),"")</f>
        <v>143</v>
      </c>
      <c r="H711">
        <f>IF(AND(ISNUMBER(C711),C711&gt;='Bulk Calculator'!U63/('Bulk Calculator'!J63*'Bulk Calculator'!L63)),1,0)</f>
        <v>1</v>
      </c>
      <c r="I711">
        <f>IFERROR(IF(AND(ISNUMBER(E711),ISNUMBER(F711),E711&gt;0,F711&gt;0),SQRT(3)*'Bulk Calculator'!O63*'Bulk Calculator'!AA63*((E711*'Bulk Calculator'!Q63)+(F711*SQRT(1-'Bulk Calculator'!Q63^2)))/'Bulk Calculator'!J63/'Bulk Calculator'!K63*100,D711*'Bulk Calculator'!AA63*'Bulk Calculator'!O63/'Bulk Calculator'!J63/'Bulk Calculator'!K63*100),"")</f>
        <v>0</v>
      </c>
      <c r="J711">
        <f>IFERROR(IF(AND(ISNUMBER(E711),ISNUMBER(F711),E711&gt;0,F711&gt;0),SQRT(3)*'Bulk Calculator'!O63*'Bulk Calculator'!U63*((E711*'Bulk Calculator'!M63)+(F711*SQRT(1-'Bulk Calculator'!M63^2)))/'Bulk Calculator'!J63/'Bulk Calculator'!K63*100,D711*'Bulk Calculator'!U63*'Bulk Calculator'!O63/'Bulk Calculator'!J63/'Bulk Calculator'!K63*100),"")</f>
        <v>0</v>
      </c>
      <c r="K711">
        <f>IFERROR(G711*B711*'Bulk Calculator'!J63/SQRT('Bulk Calculator'!S63)/1000,"")</f>
        <v>95.927316234740985</v>
      </c>
      <c r="L711">
        <f>IF(OR('Bulk Calculator'!R63="",'Bulk Calculator'!S63="",G711=""),0,IF(K711&gt;='Bulk Calculator'!R63,1,0))</f>
        <v>1</v>
      </c>
      <c r="M711">
        <f>IF(AND(H711=1,I711&lt;='OS-DORAEN'!$B$6,J711&lt;='OS-DORAEN'!$B$5,L711=1),1,0)</f>
        <v>1</v>
      </c>
      <c r="N711" t="str">
        <f t="shared" si="11"/>
        <v>R/X</v>
      </c>
    </row>
    <row r="712" spans="1:14" ht="15" customHeight="1" x14ac:dyDescent="0.35">
      <c r="A712">
        <v>63</v>
      </c>
      <c r="B712">
        <v>240</v>
      </c>
      <c r="C712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Master'!$F:$F,B712),"")</f>
        <v>399</v>
      </c>
      <c r="D712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Master'!$F:$F,B712),"")</f>
        <v>0.16200000000000001</v>
      </c>
      <c r="E712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Master'!$F:$F,B712),"")</f>
        <v>0.16200000000000001</v>
      </c>
      <c r="F712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Master'!$F:$F,B712),"")</f>
        <v>7.1999999999999995E-2</v>
      </c>
      <c r="G712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Master'!$F:$F,B712),"")</f>
        <v>143</v>
      </c>
      <c r="H712">
        <f>IF(AND(ISNUMBER(C712),C712&gt;='Bulk Calculator'!U63/('Bulk Calculator'!J63*'Bulk Calculator'!L63)),1,0)</f>
        <v>1</v>
      </c>
      <c r="I712">
        <f>IFERROR(IF(AND(ISNUMBER(E712),ISNUMBER(F712),E712&gt;0,F712&gt;0),SQRT(3)*'Bulk Calculator'!O63*'Bulk Calculator'!AA63*((E712*'Bulk Calculator'!Q63)+(F712*SQRT(1-'Bulk Calculator'!Q63^2)))/'Bulk Calculator'!J63/'Bulk Calculator'!K63*100,D712*'Bulk Calculator'!AA63*'Bulk Calculator'!O63/'Bulk Calculator'!J63/'Bulk Calculator'!K63*100),"")</f>
        <v>0</v>
      </c>
      <c r="J712">
        <f>IFERROR(IF(AND(ISNUMBER(E712),ISNUMBER(F712),E712&gt;0,F712&gt;0),SQRT(3)*'Bulk Calculator'!O63*'Bulk Calculator'!U63*((E712*'Bulk Calculator'!M63)+(F712*SQRT(1-'Bulk Calculator'!M63^2)))/'Bulk Calculator'!J63/'Bulk Calculator'!K63*100,D712*'Bulk Calculator'!U63*'Bulk Calculator'!O63/'Bulk Calculator'!J63/'Bulk Calculator'!K63*100),"")</f>
        <v>0</v>
      </c>
      <c r="K712">
        <f>IFERROR(G712*B712*'Bulk Calculator'!J63/SQRT('Bulk Calculator'!S63)/1000,"")</f>
        <v>76.741852987792782</v>
      </c>
      <c r="L712">
        <f>IF(OR('Bulk Calculator'!R63="",'Bulk Calculator'!S63="",G712=""),0,IF(K712&gt;='Bulk Calculator'!R63,1,0))</f>
        <v>1</v>
      </c>
      <c r="M712">
        <f>IF(AND(H712=1,I712&lt;='OS-DORAEN'!$B$6,J712&lt;='OS-DORAEN'!$B$5,L712=1),1,0)</f>
        <v>1</v>
      </c>
      <c r="N712" t="str">
        <f t="shared" si="11"/>
        <v>R/X</v>
      </c>
    </row>
    <row r="713" spans="1:14" ht="15" customHeight="1" x14ac:dyDescent="0.35">
      <c r="A713">
        <v>63</v>
      </c>
      <c r="B713">
        <v>185</v>
      </c>
      <c r="C713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Master'!$F:$F,B713),"")</f>
        <v>337</v>
      </c>
      <c r="D713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Master'!$F:$F,B713),"")</f>
        <v>0.21099999999999999</v>
      </c>
      <c r="E713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Master'!$F:$F,B713),"")</f>
        <v>0.21099999999999999</v>
      </c>
      <c r="F713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Master'!$F:$F,B713),"")</f>
        <v>7.1999999999999995E-2</v>
      </c>
      <c r="G713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Master'!$F:$F,B713),"")</f>
        <v>143</v>
      </c>
      <c r="H713">
        <f>IF(AND(ISNUMBER(C713),C713&gt;='Bulk Calculator'!U63/('Bulk Calculator'!J63*'Bulk Calculator'!L63)),1,0)</f>
        <v>1</v>
      </c>
      <c r="I713">
        <f>IFERROR(IF(AND(ISNUMBER(E713),ISNUMBER(F713),E713&gt;0,F713&gt;0),SQRT(3)*'Bulk Calculator'!O63*'Bulk Calculator'!AA63*((E713*'Bulk Calculator'!Q63)+(F713*SQRT(1-'Bulk Calculator'!Q63^2)))/'Bulk Calculator'!J63/'Bulk Calculator'!K63*100,D713*'Bulk Calculator'!AA63*'Bulk Calculator'!O63/'Bulk Calculator'!J63/'Bulk Calculator'!K63*100),"")</f>
        <v>0</v>
      </c>
      <c r="J713">
        <f>IFERROR(IF(AND(ISNUMBER(E713),ISNUMBER(F713),E713&gt;0,F713&gt;0),SQRT(3)*'Bulk Calculator'!O63*'Bulk Calculator'!U63*((E713*'Bulk Calculator'!M63)+(F713*SQRT(1-'Bulk Calculator'!M63^2)))/'Bulk Calculator'!J63/'Bulk Calculator'!K63*100,D713*'Bulk Calculator'!U63*'Bulk Calculator'!O63/'Bulk Calculator'!J63/'Bulk Calculator'!K63*100),"")</f>
        <v>0</v>
      </c>
      <c r="K713">
        <f>IFERROR(G713*B713*'Bulk Calculator'!J63/SQRT('Bulk Calculator'!S63)/1000,"")</f>
        <v>59.155178344756941</v>
      </c>
      <c r="L713">
        <f>IF(OR('Bulk Calculator'!R63="",'Bulk Calculator'!S63="",G713=""),0,IF(K713&gt;='Bulk Calculator'!R63,1,0))</f>
        <v>1</v>
      </c>
      <c r="M713">
        <f>IF(AND(H713=1,I713&lt;='OS-DORAEN'!$B$6,J713&lt;='OS-DORAEN'!$B$5,L713=1),1,0)</f>
        <v>1</v>
      </c>
      <c r="N713" t="str">
        <f t="shared" si="11"/>
        <v>R/X</v>
      </c>
    </row>
    <row r="714" spans="1:14" ht="15" customHeight="1" x14ac:dyDescent="0.35">
      <c r="A714">
        <v>63</v>
      </c>
      <c r="B714">
        <v>150</v>
      </c>
      <c r="C714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Master'!$F:$F,B714),"")</f>
        <v>292</v>
      </c>
      <c r="D714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Master'!$F:$F,B714),"")</f>
        <v>0.26500000000000001</v>
      </c>
      <c r="E714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Master'!$F:$F,B714),"")</f>
        <v>0.26500000000000001</v>
      </c>
      <c r="F714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Master'!$F:$F,B714),"")</f>
        <v>7.1999999999999995E-2</v>
      </c>
      <c r="G714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Master'!$F:$F,B714),"")</f>
        <v>143</v>
      </c>
      <c r="H714">
        <f>IF(AND(ISNUMBER(C714),C714&gt;='Bulk Calculator'!U63/('Bulk Calculator'!J63*'Bulk Calculator'!L63)),1,0)</f>
        <v>1</v>
      </c>
      <c r="I714">
        <f>IFERROR(IF(AND(ISNUMBER(E714),ISNUMBER(F714),E714&gt;0,F714&gt;0),SQRT(3)*'Bulk Calculator'!O63*'Bulk Calculator'!AA63*((E714*'Bulk Calculator'!Q63)+(F714*SQRT(1-'Bulk Calculator'!Q63^2)))/'Bulk Calculator'!J63/'Bulk Calculator'!K63*100,D714*'Bulk Calculator'!AA63*'Bulk Calculator'!O63/'Bulk Calculator'!J63/'Bulk Calculator'!K63*100),"")</f>
        <v>0</v>
      </c>
      <c r="J714">
        <f>IFERROR(IF(AND(ISNUMBER(E714),ISNUMBER(F714),E714&gt;0,F714&gt;0),SQRT(3)*'Bulk Calculator'!O63*'Bulk Calculator'!U63*((E714*'Bulk Calculator'!M63)+(F714*SQRT(1-'Bulk Calculator'!M63^2)))/'Bulk Calculator'!J63/'Bulk Calculator'!K63*100,D714*'Bulk Calculator'!U63*'Bulk Calculator'!O63/'Bulk Calculator'!J63/'Bulk Calculator'!K63*100),"")</f>
        <v>0</v>
      </c>
      <c r="K714">
        <f>IFERROR(G714*B714*'Bulk Calculator'!J63/SQRT('Bulk Calculator'!S63)/1000,"")</f>
        <v>47.963658117370493</v>
      </c>
      <c r="L714">
        <f>IF(OR('Bulk Calculator'!R63="",'Bulk Calculator'!S63="",G714=""),0,IF(K714&gt;='Bulk Calculator'!R63,1,0))</f>
        <v>1</v>
      </c>
      <c r="M714">
        <f>IF(AND(H714=1,I714&lt;='OS-DORAEN'!$B$6,J714&lt;='OS-DORAEN'!$B$5,L714=1),1,0)</f>
        <v>1</v>
      </c>
      <c r="N714" t="str">
        <f t="shared" si="11"/>
        <v>R/X</v>
      </c>
    </row>
    <row r="715" spans="1:14" ht="15" customHeight="1" x14ac:dyDescent="0.35">
      <c r="A715">
        <v>63</v>
      </c>
      <c r="B715">
        <v>120</v>
      </c>
      <c r="C715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Master'!$F:$F,B715),"")</f>
        <v>257</v>
      </c>
      <c r="D715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Master'!$F:$F,B715),"")</f>
        <v>0.32500000000000001</v>
      </c>
      <c r="E715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Master'!$F:$F,B715),"")</f>
        <v>0.32500000000000001</v>
      </c>
      <c r="F715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Master'!$F:$F,B715),"")</f>
        <v>7.1999999999999995E-2</v>
      </c>
      <c r="G715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Master'!$F:$F,B715),"")</f>
        <v>143</v>
      </c>
      <c r="H715">
        <f>IF(AND(ISNUMBER(C715),C715&gt;='Bulk Calculator'!U63/('Bulk Calculator'!J63*'Bulk Calculator'!L63)),1,0)</f>
        <v>1</v>
      </c>
      <c r="I715">
        <f>IFERROR(IF(AND(ISNUMBER(E715),ISNUMBER(F715),E715&gt;0,F715&gt;0),SQRT(3)*'Bulk Calculator'!O63*'Bulk Calculator'!AA63*((E715*'Bulk Calculator'!Q63)+(F715*SQRT(1-'Bulk Calculator'!Q63^2)))/'Bulk Calculator'!J63/'Bulk Calculator'!K63*100,D715*'Bulk Calculator'!AA63*'Bulk Calculator'!O63/'Bulk Calculator'!J63/'Bulk Calculator'!K63*100),"")</f>
        <v>0</v>
      </c>
      <c r="J715">
        <f>IFERROR(IF(AND(ISNUMBER(E715),ISNUMBER(F715),E715&gt;0,F715&gt;0),SQRT(3)*'Bulk Calculator'!O63*'Bulk Calculator'!U63*((E715*'Bulk Calculator'!M63)+(F715*SQRT(1-'Bulk Calculator'!M63^2)))/'Bulk Calculator'!J63/'Bulk Calculator'!K63*100,D715*'Bulk Calculator'!U63*'Bulk Calculator'!O63/'Bulk Calculator'!J63/'Bulk Calculator'!K63*100),"")</f>
        <v>0</v>
      </c>
      <c r="K715">
        <f>IFERROR(G715*B715*'Bulk Calculator'!J63/SQRT('Bulk Calculator'!S63)/1000,"")</f>
        <v>38.370926493896391</v>
      </c>
      <c r="L715">
        <f>IF(OR('Bulk Calculator'!R63="",'Bulk Calculator'!S63="",G715=""),0,IF(K715&gt;='Bulk Calculator'!R63,1,0))</f>
        <v>1</v>
      </c>
      <c r="M715">
        <f>IF(AND(H715=1,I715&lt;='OS-DORAEN'!$B$6,J715&lt;='OS-DORAEN'!$B$5,L715=1),1,0)</f>
        <v>1</v>
      </c>
      <c r="N715" t="str">
        <f t="shared" si="11"/>
        <v>R/X</v>
      </c>
    </row>
    <row r="716" spans="1:14" ht="15" customHeight="1" x14ac:dyDescent="0.35">
      <c r="A716">
        <v>63</v>
      </c>
      <c r="B716">
        <v>95</v>
      </c>
      <c r="C716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Master'!$F:$F,B716),"")</f>
        <v>221</v>
      </c>
      <c r="D716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Master'!$F:$F,B716),"")</f>
        <v>0.41</v>
      </c>
      <c r="E716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Master'!$F:$F,B716),"")</f>
        <v>0.41</v>
      </c>
      <c r="F716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Master'!$F:$F,B716),"")</f>
        <v>7.3999999999999996E-2</v>
      </c>
      <c r="G716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Master'!$F:$F,B716),"")</f>
        <v>143</v>
      </c>
      <c r="H716">
        <f>IF(AND(ISNUMBER(C716),C716&gt;='Bulk Calculator'!U63/('Bulk Calculator'!J63*'Bulk Calculator'!L63)),1,0)</f>
        <v>1</v>
      </c>
      <c r="I716">
        <f>IFERROR(IF(AND(ISNUMBER(E716),ISNUMBER(F716),E716&gt;0,F716&gt;0),SQRT(3)*'Bulk Calculator'!O63*'Bulk Calculator'!AA63*((E716*'Bulk Calculator'!Q63)+(F716*SQRT(1-'Bulk Calculator'!Q63^2)))/'Bulk Calculator'!J63/'Bulk Calculator'!K63*100,D716*'Bulk Calculator'!AA63*'Bulk Calculator'!O63/'Bulk Calculator'!J63/'Bulk Calculator'!K63*100),"")</f>
        <v>0</v>
      </c>
      <c r="J716">
        <f>IFERROR(IF(AND(ISNUMBER(E716),ISNUMBER(F716),E716&gt;0,F716&gt;0),SQRT(3)*'Bulk Calculator'!O63*'Bulk Calculator'!U63*((E716*'Bulk Calculator'!M63)+(F716*SQRT(1-'Bulk Calculator'!M63^2)))/'Bulk Calculator'!J63/'Bulk Calculator'!K63*100,D716*'Bulk Calculator'!U63*'Bulk Calculator'!O63/'Bulk Calculator'!J63/'Bulk Calculator'!K63*100),"")</f>
        <v>0</v>
      </c>
      <c r="K716">
        <f>IFERROR(G716*B716*'Bulk Calculator'!J63/SQRT('Bulk Calculator'!S63)/1000,"")</f>
        <v>30.376983474334644</v>
      </c>
      <c r="L716">
        <f>IF(OR('Bulk Calculator'!R63="",'Bulk Calculator'!S63="",G716=""),0,IF(K716&gt;='Bulk Calculator'!R63,1,0))</f>
        <v>1</v>
      </c>
      <c r="M716">
        <f>IF(AND(H716=1,I716&lt;='OS-DORAEN'!$B$6,J716&lt;='OS-DORAEN'!$B$5,L716=1),1,0)</f>
        <v>1</v>
      </c>
      <c r="N716" t="str">
        <f t="shared" si="11"/>
        <v>R/X</v>
      </c>
    </row>
    <row r="717" spans="1:14" ht="15" customHeight="1" x14ac:dyDescent="0.35">
      <c r="A717">
        <v>63</v>
      </c>
      <c r="B717">
        <v>70</v>
      </c>
      <c r="C717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Master'!$F:$F,B717),"")</f>
        <v>179</v>
      </c>
      <c r="D717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Master'!$F:$F,B717),"")</f>
        <v>0.56699999999999995</v>
      </c>
      <c r="E717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Master'!$F:$F,B717),"")</f>
        <v>0.56699999999999995</v>
      </c>
      <c r="F717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Master'!$F:$F,B717),"")</f>
        <v>7.6999999999999999E-2</v>
      </c>
      <c r="G717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Master'!$F:$F,B717),"")</f>
        <v>143</v>
      </c>
      <c r="H717">
        <f>IF(AND(ISNUMBER(C717),C717&gt;='Bulk Calculator'!U63/('Bulk Calculator'!J63*'Bulk Calculator'!L63)),1,0)</f>
        <v>1</v>
      </c>
      <c r="I717">
        <f>IFERROR(IF(AND(ISNUMBER(E717),ISNUMBER(F717),E717&gt;0,F717&gt;0),SQRT(3)*'Bulk Calculator'!O63*'Bulk Calculator'!AA63*((E717*'Bulk Calculator'!Q63)+(F717*SQRT(1-'Bulk Calculator'!Q63^2)))/'Bulk Calculator'!J63/'Bulk Calculator'!K63*100,D717*'Bulk Calculator'!AA63*'Bulk Calculator'!O63/'Bulk Calculator'!J63/'Bulk Calculator'!K63*100),"")</f>
        <v>0</v>
      </c>
      <c r="J717">
        <f>IFERROR(IF(AND(ISNUMBER(E717),ISNUMBER(F717),E717&gt;0,F717&gt;0),SQRT(3)*'Bulk Calculator'!O63*'Bulk Calculator'!U63*((E717*'Bulk Calculator'!M63)+(F717*SQRT(1-'Bulk Calculator'!M63^2)))/'Bulk Calculator'!J63/'Bulk Calculator'!K63*100,D717*'Bulk Calculator'!U63*'Bulk Calculator'!O63/'Bulk Calculator'!J63/'Bulk Calculator'!K63*100),"")</f>
        <v>0</v>
      </c>
      <c r="K717">
        <f>IFERROR(G717*B717*'Bulk Calculator'!J63/SQRT('Bulk Calculator'!S63)/1000,"")</f>
        <v>22.383040454772893</v>
      </c>
      <c r="L717">
        <f>IF(OR('Bulk Calculator'!R63="",'Bulk Calculator'!S63="",G717=""),0,IF(K717&gt;='Bulk Calculator'!R63,1,0))</f>
        <v>1</v>
      </c>
      <c r="M717">
        <f>IF(AND(H717=1,I717&lt;='OS-DORAEN'!$B$6,J717&lt;='OS-DORAEN'!$B$5,L717=1),1,0)</f>
        <v>1</v>
      </c>
      <c r="N717" t="str">
        <f t="shared" si="11"/>
        <v>R/X</v>
      </c>
    </row>
    <row r="718" spans="1:14" ht="15" customHeight="1" x14ac:dyDescent="0.35">
      <c r="A718">
        <v>63</v>
      </c>
      <c r="B718">
        <v>50</v>
      </c>
      <c r="C718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Master'!$F:$F,B718),"")</f>
        <v>142</v>
      </c>
      <c r="D718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Master'!$F:$F,B718),"")</f>
        <v>0.82</v>
      </c>
      <c r="E718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Master'!$F:$F,B718),"")</f>
        <v>0.82</v>
      </c>
      <c r="F718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Master'!$F:$F,B718),"")</f>
        <v>7.8E-2</v>
      </c>
      <c r="G718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Master'!$F:$F,B718),"")</f>
        <v>143</v>
      </c>
      <c r="H718">
        <f>IF(AND(ISNUMBER(C718),C718&gt;='Bulk Calculator'!U63/('Bulk Calculator'!J63*'Bulk Calculator'!L63)),1,0)</f>
        <v>1</v>
      </c>
      <c r="I718">
        <f>IFERROR(IF(AND(ISNUMBER(E718),ISNUMBER(F718),E718&gt;0,F718&gt;0),SQRT(3)*'Bulk Calculator'!O63*'Bulk Calculator'!AA63*((E718*'Bulk Calculator'!Q63)+(F718*SQRT(1-'Bulk Calculator'!Q63^2)))/'Bulk Calculator'!J63/'Bulk Calculator'!K63*100,D718*'Bulk Calculator'!AA63*'Bulk Calculator'!O63/'Bulk Calculator'!J63/'Bulk Calculator'!K63*100),"")</f>
        <v>0</v>
      </c>
      <c r="J718">
        <f>IFERROR(IF(AND(ISNUMBER(E718),ISNUMBER(F718),E718&gt;0,F718&gt;0),SQRT(3)*'Bulk Calculator'!O63*'Bulk Calculator'!U63*((E718*'Bulk Calculator'!M63)+(F718*SQRT(1-'Bulk Calculator'!M63^2)))/'Bulk Calculator'!J63/'Bulk Calculator'!K63*100,D718*'Bulk Calculator'!U63*'Bulk Calculator'!O63/'Bulk Calculator'!J63/'Bulk Calculator'!K63*100),"")</f>
        <v>0</v>
      </c>
      <c r="K718">
        <f>IFERROR(G718*B718*'Bulk Calculator'!J63/SQRT('Bulk Calculator'!S63)/1000,"")</f>
        <v>15.987886039123497</v>
      </c>
      <c r="L718">
        <f>IF(OR('Bulk Calculator'!R63="",'Bulk Calculator'!S63="",G718=""),0,IF(K718&gt;='Bulk Calculator'!R63,1,0))</f>
        <v>1</v>
      </c>
      <c r="M718">
        <f>IF(AND(H718=1,I718&lt;='OS-DORAEN'!$B$6,J718&lt;='OS-DORAEN'!$B$5,L718=1),1,0)</f>
        <v>1</v>
      </c>
      <c r="N718" t="str">
        <f t="shared" si="11"/>
        <v>R/X</v>
      </c>
    </row>
    <row r="719" spans="1:14" ht="15" customHeight="1" x14ac:dyDescent="0.35">
      <c r="A719">
        <v>63</v>
      </c>
      <c r="B719">
        <v>35</v>
      </c>
      <c r="C719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Master'!$F:$F,B719),"")</f>
        <v>117</v>
      </c>
      <c r="D719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Master'!$F:$F,B719),"")</f>
        <v>1.1100000000000001</v>
      </c>
      <c r="E719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Master'!$F:$F,B719),"")</f>
        <v>1.1100000000000001</v>
      </c>
      <c r="F719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Master'!$F:$F,B719),"")</f>
        <v>0.08</v>
      </c>
      <c r="G719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Master'!$F:$F,B719),"")</f>
        <v>143</v>
      </c>
      <c r="H719">
        <f>IF(AND(ISNUMBER(C719),C719&gt;='Bulk Calculator'!U63/('Bulk Calculator'!J63*'Bulk Calculator'!L63)),1,0)</f>
        <v>1</v>
      </c>
      <c r="I719">
        <f>IFERROR(IF(AND(ISNUMBER(E719),ISNUMBER(F719),E719&gt;0,F719&gt;0),SQRT(3)*'Bulk Calculator'!O63*'Bulk Calculator'!AA63*((E719*'Bulk Calculator'!Q63)+(F719*SQRT(1-'Bulk Calculator'!Q63^2)))/'Bulk Calculator'!J63/'Bulk Calculator'!K63*100,D719*'Bulk Calculator'!AA63*'Bulk Calculator'!O63/'Bulk Calculator'!J63/'Bulk Calculator'!K63*100),"")</f>
        <v>0</v>
      </c>
      <c r="J719">
        <f>IFERROR(IF(AND(ISNUMBER(E719),ISNUMBER(F719),E719&gt;0,F719&gt;0),SQRT(3)*'Bulk Calculator'!O63*'Bulk Calculator'!U63*((E719*'Bulk Calculator'!M63)+(F719*SQRT(1-'Bulk Calculator'!M63^2)))/'Bulk Calculator'!J63/'Bulk Calculator'!K63*100,D719*'Bulk Calculator'!U63*'Bulk Calculator'!O63/'Bulk Calculator'!J63/'Bulk Calculator'!K63*100),"")</f>
        <v>0</v>
      </c>
      <c r="K719">
        <f>IFERROR(G719*B719*'Bulk Calculator'!J63/SQRT('Bulk Calculator'!S63)/1000,"")</f>
        <v>11.191520227386446</v>
      </c>
      <c r="L719">
        <f>IF(OR('Bulk Calculator'!R63="",'Bulk Calculator'!S63="",G719=""),0,IF(K719&gt;='Bulk Calculator'!R63,1,0))</f>
        <v>1</v>
      </c>
      <c r="M719">
        <f>IF(AND(H719=1,I719&lt;='OS-DORAEN'!$B$6,J719&lt;='OS-DORAEN'!$B$5,L719=1),1,0)</f>
        <v>1</v>
      </c>
      <c r="N719" t="str">
        <f t="shared" si="11"/>
        <v>R/X</v>
      </c>
    </row>
    <row r="720" spans="1:14" ht="15" customHeight="1" x14ac:dyDescent="0.35">
      <c r="A720">
        <v>63</v>
      </c>
      <c r="B720">
        <v>25</v>
      </c>
      <c r="C720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Master'!$F:$F,B720),"")</f>
        <v>96</v>
      </c>
      <c r="D720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Master'!$F:$F,B720),"")</f>
        <v>1.54</v>
      </c>
      <c r="E720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Master'!$F:$F,B720),"")</f>
        <v>1.54</v>
      </c>
      <c r="F720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Master'!$F:$F,B720),"")</f>
        <v>0.08</v>
      </c>
      <c r="G720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Master'!$F:$F,B720),"")</f>
        <v>143</v>
      </c>
      <c r="H720">
        <f>IF(AND(ISNUMBER(C720),C720&gt;='Bulk Calculator'!U63/('Bulk Calculator'!J63*'Bulk Calculator'!L63)),1,0)</f>
        <v>1</v>
      </c>
      <c r="I720">
        <f>IFERROR(IF(AND(ISNUMBER(E720),ISNUMBER(F720),E720&gt;0,F720&gt;0),SQRT(3)*'Bulk Calculator'!O63*'Bulk Calculator'!AA63*((E720*'Bulk Calculator'!Q63)+(F720*SQRT(1-'Bulk Calculator'!Q63^2)))/'Bulk Calculator'!J63/'Bulk Calculator'!K63*100,D720*'Bulk Calculator'!AA63*'Bulk Calculator'!O63/'Bulk Calculator'!J63/'Bulk Calculator'!K63*100),"")</f>
        <v>0</v>
      </c>
      <c r="J720">
        <f>IFERROR(IF(AND(ISNUMBER(E720),ISNUMBER(F720),E720&gt;0,F720&gt;0),SQRT(3)*'Bulk Calculator'!O63*'Bulk Calculator'!U63*((E720*'Bulk Calculator'!M63)+(F720*SQRT(1-'Bulk Calculator'!M63^2)))/'Bulk Calculator'!J63/'Bulk Calculator'!K63*100,D720*'Bulk Calculator'!U63*'Bulk Calculator'!O63/'Bulk Calculator'!J63/'Bulk Calculator'!K63*100),"")</f>
        <v>0</v>
      </c>
      <c r="K720">
        <f>IFERROR(G720*B720*'Bulk Calculator'!J63/SQRT('Bulk Calculator'!S63)/1000,"")</f>
        <v>7.9939430195617485</v>
      </c>
      <c r="L720">
        <f>IF(OR('Bulk Calculator'!R63="",'Bulk Calculator'!S63="",G720=""),0,IF(K720&gt;='Bulk Calculator'!R63,1,0))</f>
        <v>1</v>
      </c>
      <c r="M720">
        <f>IF(AND(H720=1,I720&lt;='OS-DORAEN'!$B$6,J720&lt;='OS-DORAEN'!$B$5,L720=1),1,0)</f>
        <v>1</v>
      </c>
      <c r="N720" t="str">
        <f t="shared" si="11"/>
        <v>R/X</v>
      </c>
    </row>
    <row r="721" spans="1:14" ht="15" customHeight="1" x14ac:dyDescent="0.35">
      <c r="A721">
        <v>63</v>
      </c>
      <c r="B721">
        <v>16</v>
      </c>
      <c r="C721">
        <f>IFERROR(SUMIFS('Cable Data Master'!$G:$G,'Cable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Master'!$F:$F,B721),"")</f>
        <v>0</v>
      </c>
      <c r="D721">
        <f>IFERROR(SUMIFS('Cable Data Master'!$K:$K,'Cable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Master'!$F:$F,B721),"")</f>
        <v>0</v>
      </c>
      <c r="E721">
        <f>IFERROR(SUMIFS('Cable Data Master'!$H:$H,'Cable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Master'!$F:$F,B721),"")</f>
        <v>0</v>
      </c>
      <c r="F721">
        <f>IFERROR(SUMIFS('Cable Data Master'!$I:$I,'Cable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Master'!$F:$F,B721),"")</f>
        <v>0</v>
      </c>
      <c r="G721">
        <f>IFERROR(SUMIFS('Cable Data Master'!$J:$J,'Cable Data Master'!$A:$A,'Bulk Calculator'!$BF63,'Cable Data Master'!$B:$B,'Bulk Calculator'!$BG63,'Cable Data Master'!$C:$C,'Bulk Calculator'!$BH63,'Cable Data Master'!$D:$D,'Bulk Calculator'!$BI63,'Cable Data Master'!$E:$E,'Bulk Calculator'!$BJ63,'Cable Data Master'!$F:$F,B721),"")</f>
        <v>0</v>
      </c>
      <c r="H721">
        <f>IF(AND(ISNUMBER(C721),C721&gt;='Bulk Calculator'!U63/('Bulk Calculator'!J63*'Bulk Calculator'!L63)),1,0)</f>
        <v>1</v>
      </c>
      <c r="I721">
        <f>IFERROR(IF(AND(ISNUMBER(E721),ISNUMBER(F721),E721&gt;0,F721&gt;0),SQRT(3)*'Bulk Calculator'!O63*'Bulk Calculator'!AA63*((E721*'Bulk Calculator'!Q63)+(F721*SQRT(1-'Bulk Calculator'!Q63^2)))/'Bulk Calculator'!J63/'Bulk Calculator'!K63*100,D721*'Bulk Calculator'!AA63*'Bulk Calculator'!O63/'Bulk Calculator'!J63/'Bulk Calculator'!K63*100),"")</f>
        <v>0</v>
      </c>
      <c r="J721">
        <f>IFERROR(IF(AND(ISNUMBER(E721),ISNUMBER(F721),E721&gt;0,F721&gt;0),SQRT(3)*'Bulk Calculator'!O63*'Bulk Calculator'!U63*((E721*'Bulk Calculator'!M63)+(F721*SQRT(1-'Bulk Calculator'!M63^2)))/'Bulk Calculator'!J63/'Bulk Calculator'!K63*100,D721*'Bulk Calculator'!U63*'Bulk Calculator'!O63/'Bulk Calculator'!J63/'Bulk Calculator'!K63*100),"")</f>
        <v>0</v>
      </c>
      <c r="K721">
        <f>IFERROR(G721*B721*'Bulk Calculator'!J63/SQRT('Bulk Calculator'!S63)/1000,"")</f>
        <v>0</v>
      </c>
      <c r="L721">
        <f>IF(OR('Bulk Calculator'!R63="",'Bulk Calculator'!S63="",G721=""),0,IF(K721&gt;='Bulk Calculator'!R63,1,0))</f>
        <v>1</v>
      </c>
      <c r="M721">
        <f>IF(AND(H721=1,I721&lt;='OS-DORAEN'!$B$6,J721&lt;='OS-DORAEN'!$B$5,L721=1),1,0)</f>
        <v>1</v>
      </c>
      <c r="N721" t="str">
        <f t="shared" si="11"/>
        <v>Manufacturer VD Ref</v>
      </c>
    </row>
    <row r="722" spans="1:14" ht="15" customHeight="1" x14ac:dyDescent="0.35">
      <c r="A722">
        <v>64</v>
      </c>
      <c r="B722">
        <v>400</v>
      </c>
      <c r="C722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Master'!$F:$F,B722),"")</f>
        <v>530</v>
      </c>
      <c r="D722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Master'!$F:$F,B722),"")</f>
        <v>0.1023</v>
      </c>
      <c r="E722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Master'!$F:$F,B722),"")</f>
        <v>0.1023</v>
      </c>
      <c r="F722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Master'!$F:$F,B722),"")</f>
        <v>7.0000000000000007E-2</v>
      </c>
      <c r="G722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Master'!$F:$F,B722),"")</f>
        <v>143</v>
      </c>
      <c r="H722">
        <f>IF(AND(ISNUMBER(C722),C722&gt;='Bulk Calculator'!U64/('Bulk Calculator'!J64*'Bulk Calculator'!L64)),1,0)</f>
        <v>1</v>
      </c>
      <c r="I722">
        <f>IFERROR(IF(AND(ISNUMBER(E722),ISNUMBER(F722),E722&gt;0,F722&gt;0),SQRT(3)*'Bulk Calculator'!O64*'Bulk Calculator'!AA64*((E722*'Bulk Calculator'!Q64)+(F722*SQRT(1-'Bulk Calculator'!Q64^2)))/'Bulk Calculator'!J64/'Bulk Calculator'!K64*100,D722*'Bulk Calculator'!AA64*'Bulk Calculator'!O64/'Bulk Calculator'!J64/'Bulk Calculator'!K64*100),"")</f>
        <v>0</v>
      </c>
      <c r="J722">
        <f>IFERROR(IF(AND(ISNUMBER(E722),ISNUMBER(F722),E722&gt;0,F722&gt;0),SQRT(3)*'Bulk Calculator'!O64*'Bulk Calculator'!U64*((E722*'Bulk Calculator'!M64)+(F722*SQRT(1-'Bulk Calculator'!M64^2)))/'Bulk Calculator'!J64/'Bulk Calculator'!K64*100,D722*'Bulk Calculator'!U64*'Bulk Calculator'!O64/'Bulk Calculator'!J64/'Bulk Calculator'!K64*100),"")</f>
        <v>0</v>
      </c>
      <c r="K722">
        <f>IFERROR(G722*B722*'Bulk Calculator'!J64/SQRT('Bulk Calculator'!S64)/1000,"")</f>
        <v>127.90308831298798</v>
      </c>
      <c r="L722">
        <f>IF(OR('Bulk Calculator'!R64="",'Bulk Calculator'!S64="",G722=""),0,IF(K722&gt;='Bulk Calculator'!R64,1,0))</f>
        <v>1</v>
      </c>
      <c r="M722">
        <f>IF(AND(H722=1,I722&lt;='OS-DORAEN'!$B$6,J722&lt;='OS-DORAEN'!$B$5,L722=1),1,0)</f>
        <v>1</v>
      </c>
      <c r="N722" t="str">
        <f t="shared" si="11"/>
        <v>R/X</v>
      </c>
    </row>
    <row r="723" spans="1:14" ht="15" customHeight="1" x14ac:dyDescent="0.35">
      <c r="A723">
        <v>64</v>
      </c>
      <c r="B723">
        <v>300</v>
      </c>
      <c r="C723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Master'!$F:$F,B723),"")</f>
        <v>455</v>
      </c>
      <c r="D723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Master'!$F:$F,B723),"")</f>
        <v>0.13</v>
      </c>
      <c r="E723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Master'!$F:$F,B723),"")</f>
        <v>0.13</v>
      </c>
      <c r="F723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Master'!$F:$F,B723),"")</f>
        <v>7.0999999999999994E-2</v>
      </c>
      <c r="G723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Master'!$F:$F,B723),"")</f>
        <v>143</v>
      </c>
      <c r="H723">
        <f>IF(AND(ISNUMBER(C723),C723&gt;='Bulk Calculator'!U64/('Bulk Calculator'!J64*'Bulk Calculator'!L64)),1,0)</f>
        <v>1</v>
      </c>
      <c r="I723">
        <f>IFERROR(IF(AND(ISNUMBER(E723),ISNUMBER(F723),E723&gt;0,F723&gt;0),SQRT(3)*'Bulk Calculator'!O64*'Bulk Calculator'!AA64*((E723*'Bulk Calculator'!Q64)+(F723*SQRT(1-'Bulk Calculator'!Q64^2)))/'Bulk Calculator'!J64/'Bulk Calculator'!K64*100,D723*'Bulk Calculator'!AA64*'Bulk Calculator'!O64/'Bulk Calculator'!J64/'Bulk Calculator'!K64*100),"")</f>
        <v>0</v>
      </c>
      <c r="J723">
        <f>IFERROR(IF(AND(ISNUMBER(E723),ISNUMBER(F723),E723&gt;0,F723&gt;0),SQRT(3)*'Bulk Calculator'!O64*'Bulk Calculator'!U64*((E723*'Bulk Calculator'!M64)+(F723*SQRT(1-'Bulk Calculator'!M64^2)))/'Bulk Calculator'!J64/'Bulk Calculator'!K64*100,D723*'Bulk Calculator'!U64*'Bulk Calculator'!O64/'Bulk Calculator'!J64/'Bulk Calculator'!K64*100),"")</f>
        <v>0</v>
      </c>
      <c r="K723">
        <f>IFERROR(G723*B723*'Bulk Calculator'!J64/SQRT('Bulk Calculator'!S64)/1000,"")</f>
        <v>95.927316234740985</v>
      </c>
      <c r="L723">
        <f>IF(OR('Bulk Calculator'!R64="",'Bulk Calculator'!S64="",G723=""),0,IF(K723&gt;='Bulk Calculator'!R64,1,0))</f>
        <v>1</v>
      </c>
      <c r="M723">
        <f>IF(AND(H723=1,I723&lt;='OS-DORAEN'!$B$6,J723&lt;='OS-DORAEN'!$B$5,L723=1),1,0)</f>
        <v>1</v>
      </c>
      <c r="N723" t="str">
        <f t="shared" si="11"/>
        <v>R/X</v>
      </c>
    </row>
    <row r="724" spans="1:14" ht="15" customHeight="1" x14ac:dyDescent="0.35">
      <c r="A724">
        <v>64</v>
      </c>
      <c r="B724">
        <v>240</v>
      </c>
      <c r="C724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Master'!$F:$F,B724),"")</f>
        <v>399</v>
      </c>
      <c r="D724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Master'!$F:$F,B724),"")</f>
        <v>0.16200000000000001</v>
      </c>
      <c r="E724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Master'!$F:$F,B724),"")</f>
        <v>0.16200000000000001</v>
      </c>
      <c r="F724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Master'!$F:$F,B724),"")</f>
        <v>7.1999999999999995E-2</v>
      </c>
      <c r="G724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Master'!$F:$F,B724),"")</f>
        <v>143</v>
      </c>
      <c r="H724">
        <f>IF(AND(ISNUMBER(C724),C724&gt;='Bulk Calculator'!U64/('Bulk Calculator'!J64*'Bulk Calculator'!L64)),1,0)</f>
        <v>1</v>
      </c>
      <c r="I724">
        <f>IFERROR(IF(AND(ISNUMBER(E724),ISNUMBER(F724),E724&gt;0,F724&gt;0),SQRT(3)*'Bulk Calculator'!O64*'Bulk Calculator'!AA64*((E724*'Bulk Calculator'!Q64)+(F724*SQRT(1-'Bulk Calculator'!Q64^2)))/'Bulk Calculator'!J64/'Bulk Calculator'!K64*100,D724*'Bulk Calculator'!AA64*'Bulk Calculator'!O64/'Bulk Calculator'!J64/'Bulk Calculator'!K64*100),"")</f>
        <v>0</v>
      </c>
      <c r="J724">
        <f>IFERROR(IF(AND(ISNUMBER(E724),ISNUMBER(F724),E724&gt;0,F724&gt;0),SQRT(3)*'Bulk Calculator'!O64*'Bulk Calculator'!U64*((E724*'Bulk Calculator'!M64)+(F724*SQRT(1-'Bulk Calculator'!M64^2)))/'Bulk Calculator'!J64/'Bulk Calculator'!K64*100,D724*'Bulk Calculator'!U64*'Bulk Calculator'!O64/'Bulk Calculator'!J64/'Bulk Calculator'!K64*100),"")</f>
        <v>0</v>
      </c>
      <c r="K724">
        <f>IFERROR(G724*B724*'Bulk Calculator'!J64/SQRT('Bulk Calculator'!S64)/1000,"")</f>
        <v>76.741852987792782</v>
      </c>
      <c r="L724">
        <f>IF(OR('Bulk Calculator'!R64="",'Bulk Calculator'!S64="",G724=""),0,IF(K724&gt;='Bulk Calculator'!R64,1,0))</f>
        <v>1</v>
      </c>
      <c r="M724">
        <f>IF(AND(H724=1,I724&lt;='OS-DORAEN'!$B$6,J724&lt;='OS-DORAEN'!$B$5,L724=1),1,0)</f>
        <v>1</v>
      </c>
      <c r="N724" t="str">
        <f t="shared" si="11"/>
        <v>R/X</v>
      </c>
    </row>
    <row r="725" spans="1:14" ht="15" customHeight="1" x14ac:dyDescent="0.35">
      <c r="A725">
        <v>64</v>
      </c>
      <c r="B725">
        <v>185</v>
      </c>
      <c r="C725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Master'!$F:$F,B725),"")</f>
        <v>337</v>
      </c>
      <c r="D725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Master'!$F:$F,B725),"")</f>
        <v>0.21099999999999999</v>
      </c>
      <c r="E725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Master'!$F:$F,B725),"")</f>
        <v>0.21099999999999999</v>
      </c>
      <c r="F725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Master'!$F:$F,B725),"")</f>
        <v>7.1999999999999995E-2</v>
      </c>
      <c r="G725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Master'!$F:$F,B725),"")</f>
        <v>143</v>
      </c>
      <c r="H725">
        <f>IF(AND(ISNUMBER(C725),C725&gt;='Bulk Calculator'!U64/('Bulk Calculator'!J64*'Bulk Calculator'!L64)),1,0)</f>
        <v>1</v>
      </c>
      <c r="I725">
        <f>IFERROR(IF(AND(ISNUMBER(E725),ISNUMBER(F725),E725&gt;0,F725&gt;0),SQRT(3)*'Bulk Calculator'!O64*'Bulk Calculator'!AA64*((E725*'Bulk Calculator'!Q64)+(F725*SQRT(1-'Bulk Calculator'!Q64^2)))/'Bulk Calculator'!J64/'Bulk Calculator'!K64*100,D725*'Bulk Calculator'!AA64*'Bulk Calculator'!O64/'Bulk Calculator'!J64/'Bulk Calculator'!K64*100),"")</f>
        <v>0</v>
      </c>
      <c r="J725">
        <f>IFERROR(IF(AND(ISNUMBER(E725),ISNUMBER(F725),E725&gt;0,F725&gt;0),SQRT(3)*'Bulk Calculator'!O64*'Bulk Calculator'!U64*((E725*'Bulk Calculator'!M64)+(F725*SQRT(1-'Bulk Calculator'!M64^2)))/'Bulk Calculator'!J64/'Bulk Calculator'!K64*100,D725*'Bulk Calculator'!U64*'Bulk Calculator'!O64/'Bulk Calculator'!J64/'Bulk Calculator'!K64*100),"")</f>
        <v>0</v>
      </c>
      <c r="K725">
        <f>IFERROR(G725*B725*'Bulk Calculator'!J64/SQRT('Bulk Calculator'!S64)/1000,"")</f>
        <v>59.155178344756941</v>
      </c>
      <c r="L725">
        <f>IF(OR('Bulk Calculator'!R64="",'Bulk Calculator'!S64="",G725=""),0,IF(K725&gt;='Bulk Calculator'!R64,1,0))</f>
        <v>1</v>
      </c>
      <c r="M725">
        <f>IF(AND(H725=1,I725&lt;='OS-DORAEN'!$B$6,J725&lt;='OS-DORAEN'!$B$5,L725=1),1,0)</f>
        <v>1</v>
      </c>
      <c r="N725" t="str">
        <f t="shared" si="11"/>
        <v>R/X</v>
      </c>
    </row>
    <row r="726" spans="1:14" ht="15" customHeight="1" x14ac:dyDescent="0.35">
      <c r="A726">
        <v>64</v>
      </c>
      <c r="B726">
        <v>150</v>
      </c>
      <c r="C726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Master'!$F:$F,B726),"")</f>
        <v>292</v>
      </c>
      <c r="D726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Master'!$F:$F,B726),"")</f>
        <v>0.26500000000000001</v>
      </c>
      <c r="E726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Master'!$F:$F,B726),"")</f>
        <v>0.26500000000000001</v>
      </c>
      <c r="F726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Master'!$F:$F,B726),"")</f>
        <v>7.1999999999999995E-2</v>
      </c>
      <c r="G726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Master'!$F:$F,B726),"")</f>
        <v>143</v>
      </c>
      <c r="H726">
        <f>IF(AND(ISNUMBER(C726),C726&gt;='Bulk Calculator'!U64/('Bulk Calculator'!J64*'Bulk Calculator'!L64)),1,0)</f>
        <v>1</v>
      </c>
      <c r="I726">
        <f>IFERROR(IF(AND(ISNUMBER(E726),ISNUMBER(F726),E726&gt;0,F726&gt;0),SQRT(3)*'Bulk Calculator'!O64*'Bulk Calculator'!AA64*((E726*'Bulk Calculator'!Q64)+(F726*SQRT(1-'Bulk Calculator'!Q64^2)))/'Bulk Calculator'!J64/'Bulk Calculator'!K64*100,D726*'Bulk Calculator'!AA64*'Bulk Calculator'!O64/'Bulk Calculator'!J64/'Bulk Calculator'!K64*100),"")</f>
        <v>0</v>
      </c>
      <c r="J726">
        <f>IFERROR(IF(AND(ISNUMBER(E726),ISNUMBER(F726),E726&gt;0,F726&gt;0),SQRT(3)*'Bulk Calculator'!O64*'Bulk Calculator'!U64*((E726*'Bulk Calculator'!M64)+(F726*SQRT(1-'Bulk Calculator'!M64^2)))/'Bulk Calculator'!J64/'Bulk Calculator'!K64*100,D726*'Bulk Calculator'!U64*'Bulk Calculator'!O64/'Bulk Calculator'!J64/'Bulk Calculator'!K64*100),"")</f>
        <v>0</v>
      </c>
      <c r="K726">
        <f>IFERROR(G726*B726*'Bulk Calculator'!J64/SQRT('Bulk Calculator'!S64)/1000,"")</f>
        <v>47.963658117370493</v>
      </c>
      <c r="L726">
        <f>IF(OR('Bulk Calculator'!R64="",'Bulk Calculator'!S64="",G726=""),0,IF(K726&gt;='Bulk Calculator'!R64,1,0))</f>
        <v>1</v>
      </c>
      <c r="M726">
        <f>IF(AND(H726=1,I726&lt;='OS-DORAEN'!$B$6,J726&lt;='OS-DORAEN'!$B$5,L726=1),1,0)</f>
        <v>1</v>
      </c>
      <c r="N726" t="str">
        <f t="shared" si="11"/>
        <v>R/X</v>
      </c>
    </row>
    <row r="727" spans="1:14" ht="15" customHeight="1" x14ac:dyDescent="0.35">
      <c r="A727">
        <v>64</v>
      </c>
      <c r="B727">
        <v>120</v>
      </c>
      <c r="C727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Master'!$F:$F,B727),"")</f>
        <v>257</v>
      </c>
      <c r="D727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Master'!$F:$F,B727),"")</f>
        <v>0.32500000000000001</v>
      </c>
      <c r="E727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Master'!$F:$F,B727),"")</f>
        <v>0.32500000000000001</v>
      </c>
      <c r="F727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Master'!$F:$F,B727),"")</f>
        <v>7.1999999999999995E-2</v>
      </c>
      <c r="G727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Master'!$F:$F,B727),"")</f>
        <v>143</v>
      </c>
      <c r="H727">
        <f>IF(AND(ISNUMBER(C727),C727&gt;='Bulk Calculator'!U64/('Bulk Calculator'!J64*'Bulk Calculator'!L64)),1,0)</f>
        <v>1</v>
      </c>
      <c r="I727">
        <f>IFERROR(IF(AND(ISNUMBER(E727),ISNUMBER(F727),E727&gt;0,F727&gt;0),SQRT(3)*'Bulk Calculator'!O64*'Bulk Calculator'!AA64*((E727*'Bulk Calculator'!Q64)+(F727*SQRT(1-'Bulk Calculator'!Q64^2)))/'Bulk Calculator'!J64/'Bulk Calculator'!K64*100,D727*'Bulk Calculator'!AA64*'Bulk Calculator'!O64/'Bulk Calculator'!J64/'Bulk Calculator'!K64*100),"")</f>
        <v>0</v>
      </c>
      <c r="J727">
        <f>IFERROR(IF(AND(ISNUMBER(E727),ISNUMBER(F727),E727&gt;0,F727&gt;0),SQRT(3)*'Bulk Calculator'!O64*'Bulk Calculator'!U64*((E727*'Bulk Calculator'!M64)+(F727*SQRT(1-'Bulk Calculator'!M64^2)))/'Bulk Calculator'!J64/'Bulk Calculator'!K64*100,D727*'Bulk Calculator'!U64*'Bulk Calculator'!O64/'Bulk Calculator'!J64/'Bulk Calculator'!K64*100),"")</f>
        <v>0</v>
      </c>
      <c r="K727">
        <f>IFERROR(G727*B727*'Bulk Calculator'!J64/SQRT('Bulk Calculator'!S64)/1000,"")</f>
        <v>38.370926493896391</v>
      </c>
      <c r="L727">
        <f>IF(OR('Bulk Calculator'!R64="",'Bulk Calculator'!S64="",G727=""),0,IF(K727&gt;='Bulk Calculator'!R64,1,0))</f>
        <v>1</v>
      </c>
      <c r="M727">
        <f>IF(AND(H727=1,I727&lt;='OS-DORAEN'!$B$6,J727&lt;='OS-DORAEN'!$B$5,L727=1),1,0)</f>
        <v>1</v>
      </c>
      <c r="N727" t="str">
        <f t="shared" si="11"/>
        <v>R/X</v>
      </c>
    </row>
    <row r="728" spans="1:14" ht="15" customHeight="1" x14ac:dyDescent="0.35">
      <c r="A728">
        <v>64</v>
      </c>
      <c r="B728">
        <v>95</v>
      </c>
      <c r="C728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Master'!$F:$F,B728),"")</f>
        <v>221</v>
      </c>
      <c r="D728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Master'!$F:$F,B728),"")</f>
        <v>0.41</v>
      </c>
      <c r="E728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Master'!$F:$F,B728),"")</f>
        <v>0.41</v>
      </c>
      <c r="F728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Master'!$F:$F,B728),"")</f>
        <v>7.3999999999999996E-2</v>
      </c>
      <c r="G728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Master'!$F:$F,B728),"")</f>
        <v>143</v>
      </c>
      <c r="H728">
        <f>IF(AND(ISNUMBER(C728),C728&gt;='Bulk Calculator'!U64/('Bulk Calculator'!J64*'Bulk Calculator'!L64)),1,0)</f>
        <v>1</v>
      </c>
      <c r="I728">
        <f>IFERROR(IF(AND(ISNUMBER(E728),ISNUMBER(F728),E728&gt;0,F728&gt;0),SQRT(3)*'Bulk Calculator'!O64*'Bulk Calculator'!AA64*((E728*'Bulk Calculator'!Q64)+(F728*SQRT(1-'Bulk Calculator'!Q64^2)))/'Bulk Calculator'!J64/'Bulk Calculator'!K64*100,D728*'Bulk Calculator'!AA64*'Bulk Calculator'!O64/'Bulk Calculator'!J64/'Bulk Calculator'!K64*100),"")</f>
        <v>0</v>
      </c>
      <c r="J728">
        <f>IFERROR(IF(AND(ISNUMBER(E728),ISNUMBER(F728),E728&gt;0,F728&gt;0),SQRT(3)*'Bulk Calculator'!O64*'Bulk Calculator'!U64*((E728*'Bulk Calculator'!M64)+(F728*SQRT(1-'Bulk Calculator'!M64^2)))/'Bulk Calculator'!J64/'Bulk Calculator'!K64*100,D728*'Bulk Calculator'!U64*'Bulk Calculator'!O64/'Bulk Calculator'!J64/'Bulk Calculator'!K64*100),"")</f>
        <v>0</v>
      </c>
      <c r="K728">
        <f>IFERROR(G728*B728*'Bulk Calculator'!J64/SQRT('Bulk Calculator'!S64)/1000,"")</f>
        <v>30.376983474334644</v>
      </c>
      <c r="L728">
        <f>IF(OR('Bulk Calculator'!R64="",'Bulk Calculator'!S64="",G728=""),0,IF(K728&gt;='Bulk Calculator'!R64,1,0))</f>
        <v>1</v>
      </c>
      <c r="M728">
        <f>IF(AND(H728=1,I728&lt;='OS-DORAEN'!$B$6,J728&lt;='OS-DORAEN'!$B$5,L728=1),1,0)</f>
        <v>1</v>
      </c>
      <c r="N728" t="str">
        <f t="shared" si="11"/>
        <v>R/X</v>
      </c>
    </row>
    <row r="729" spans="1:14" ht="15" customHeight="1" x14ac:dyDescent="0.35">
      <c r="A729">
        <v>64</v>
      </c>
      <c r="B729">
        <v>70</v>
      </c>
      <c r="C729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Master'!$F:$F,B729),"")</f>
        <v>179</v>
      </c>
      <c r="D729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Master'!$F:$F,B729),"")</f>
        <v>0.56699999999999995</v>
      </c>
      <c r="E729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Master'!$F:$F,B729),"")</f>
        <v>0.56699999999999995</v>
      </c>
      <c r="F729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Master'!$F:$F,B729),"")</f>
        <v>7.6999999999999999E-2</v>
      </c>
      <c r="G729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Master'!$F:$F,B729),"")</f>
        <v>143</v>
      </c>
      <c r="H729">
        <f>IF(AND(ISNUMBER(C729),C729&gt;='Bulk Calculator'!U64/('Bulk Calculator'!J64*'Bulk Calculator'!L64)),1,0)</f>
        <v>1</v>
      </c>
      <c r="I729">
        <f>IFERROR(IF(AND(ISNUMBER(E729),ISNUMBER(F729),E729&gt;0,F729&gt;0),SQRT(3)*'Bulk Calculator'!O64*'Bulk Calculator'!AA64*((E729*'Bulk Calculator'!Q64)+(F729*SQRT(1-'Bulk Calculator'!Q64^2)))/'Bulk Calculator'!J64/'Bulk Calculator'!K64*100,D729*'Bulk Calculator'!AA64*'Bulk Calculator'!O64/'Bulk Calculator'!J64/'Bulk Calculator'!K64*100),"")</f>
        <v>0</v>
      </c>
      <c r="J729">
        <f>IFERROR(IF(AND(ISNUMBER(E729),ISNUMBER(F729),E729&gt;0,F729&gt;0),SQRT(3)*'Bulk Calculator'!O64*'Bulk Calculator'!U64*((E729*'Bulk Calculator'!M64)+(F729*SQRT(1-'Bulk Calculator'!M64^2)))/'Bulk Calculator'!J64/'Bulk Calculator'!K64*100,D729*'Bulk Calculator'!U64*'Bulk Calculator'!O64/'Bulk Calculator'!J64/'Bulk Calculator'!K64*100),"")</f>
        <v>0</v>
      </c>
      <c r="K729">
        <f>IFERROR(G729*B729*'Bulk Calculator'!J64/SQRT('Bulk Calculator'!S64)/1000,"")</f>
        <v>22.383040454772893</v>
      </c>
      <c r="L729">
        <f>IF(OR('Bulk Calculator'!R64="",'Bulk Calculator'!S64="",G729=""),0,IF(K729&gt;='Bulk Calculator'!R64,1,0))</f>
        <v>1</v>
      </c>
      <c r="M729">
        <f>IF(AND(H729=1,I729&lt;='OS-DORAEN'!$B$6,J729&lt;='OS-DORAEN'!$B$5,L729=1),1,0)</f>
        <v>1</v>
      </c>
      <c r="N729" t="str">
        <f t="shared" si="11"/>
        <v>R/X</v>
      </c>
    </row>
    <row r="730" spans="1:14" ht="15" customHeight="1" x14ac:dyDescent="0.35">
      <c r="A730">
        <v>64</v>
      </c>
      <c r="B730">
        <v>50</v>
      </c>
      <c r="C730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Master'!$F:$F,B730),"")</f>
        <v>142</v>
      </c>
      <c r="D730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Master'!$F:$F,B730),"")</f>
        <v>0.82</v>
      </c>
      <c r="E730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Master'!$F:$F,B730),"")</f>
        <v>0.82</v>
      </c>
      <c r="F730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Master'!$F:$F,B730),"")</f>
        <v>7.8E-2</v>
      </c>
      <c r="G730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Master'!$F:$F,B730),"")</f>
        <v>143</v>
      </c>
      <c r="H730">
        <f>IF(AND(ISNUMBER(C730),C730&gt;='Bulk Calculator'!U64/('Bulk Calculator'!J64*'Bulk Calculator'!L64)),1,0)</f>
        <v>1</v>
      </c>
      <c r="I730">
        <f>IFERROR(IF(AND(ISNUMBER(E730),ISNUMBER(F730),E730&gt;0,F730&gt;0),SQRT(3)*'Bulk Calculator'!O64*'Bulk Calculator'!AA64*((E730*'Bulk Calculator'!Q64)+(F730*SQRT(1-'Bulk Calculator'!Q64^2)))/'Bulk Calculator'!J64/'Bulk Calculator'!K64*100,D730*'Bulk Calculator'!AA64*'Bulk Calculator'!O64/'Bulk Calculator'!J64/'Bulk Calculator'!K64*100),"")</f>
        <v>0</v>
      </c>
      <c r="J730">
        <f>IFERROR(IF(AND(ISNUMBER(E730),ISNUMBER(F730),E730&gt;0,F730&gt;0),SQRT(3)*'Bulk Calculator'!O64*'Bulk Calculator'!U64*((E730*'Bulk Calculator'!M64)+(F730*SQRT(1-'Bulk Calculator'!M64^2)))/'Bulk Calculator'!J64/'Bulk Calculator'!K64*100,D730*'Bulk Calculator'!U64*'Bulk Calculator'!O64/'Bulk Calculator'!J64/'Bulk Calculator'!K64*100),"")</f>
        <v>0</v>
      </c>
      <c r="K730">
        <f>IFERROR(G730*B730*'Bulk Calculator'!J64/SQRT('Bulk Calculator'!S64)/1000,"")</f>
        <v>15.987886039123497</v>
      </c>
      <c r="L730">
        <f>IF(OR('Bulk Calculator'!R64="",'Bulk Calculator'!S64="",G730=""),0,IF(K730&gt;='Bulk Calculator'!R64,1,0))</f>
        <v>1</v>
      </c>
      <c r="M730">
        <f>IF(AND(H730=1,I730&lt;='OS-DORAEN'!$B$6,J730&lt;='OS-DORAEN'!$B$5,L730=1),1,0)</f>
        <v>1</v>
      </c>
      <c r="N730" t="str">
        <f t="shared" si="11"/>
        <v>R/X</v>
      </c>
    </row>
    <row r="731" spans="1:14" ht="15" customHeight="1" x14ac:dyDescent="0.35">
      <c r="A731">
        <v>64</v>
      </c>
      <c r="B731">
        <v>35</v>
      </c>
      <c r="C731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Master'!$F:$F,B731),"")</f>
        <v>117</v>
      </c>
      <c r="D731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Master'!$F:$F,B731),"")</f>
        <v>1.1100000000000001</v>
      </c>
      <c r="E731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Master'!$F:$F,B731),"")</f>
        <v>1.1100000000000001</v>
      </c>
      <c r="F731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Master'!$F:$F,B731),"")</f>
        <v>0.08</v>
      </c>
      <c r="G731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Master'!$F:$F,B731),"")</f>
        <v>143</v>
      </c>
      <c r="H731">
        <f>IF(AND(ISNUMBER(C731),C731&gt;='Bulk Calculator'!U64/('Bulk Calculator'!J64*'Bulk Calculator'!L64)),1,0)</f>
        <v>1</v>
      </c>
      <c r="I731">
        <f>IFERROR(IF(AND(ISNUMBER(E731),ISNUMBER(F731),E731&gt;0,F731&gt;0),SQRT(3)*'Bulk Calculator'!O64*'Bulk Calculator'!AA64*((E731*'Bulk Calculator'!Q64)+(F731*SQRT(1-'Bulk Calculator'!Q64^2)))/'Bulk Calculator'!J64/'Bulk Calculator'!K64*100,D731*'Bulk Calculator'!AA64*'Bulk Calculator'!O64/'Bulk Calculator'!J64/'Bulk Calculator'!K64*100),"")</f>
        <v>0</v>
      </c>
      <c r="J731">
        <f>IFERROR(IF(AND(ISNUMBER(E731),ISNUMBER(F731),E731&gt;0,F731&gt;0),SQRT(3)*'Bulk Calculator'!O64*'Bulk Calculator'!U64*((E731*'Bulk Calculator'!M64)+(F731*SQRT(1-'Bulk Calculator'!M64^2)))/'Bulk Calculator'!J64/'Bulk Calculator'!K64*100,D731*'Bulk Calculator'!U64*'Bulk Calculator'!O64/'Bulk Calculator'!J64/'Bulk Calculator'!K64*100),"")</f>
        <v>0</v>
      </c>
      <c r="K731">
        <f>IFERROR(G731*B731*'Bulk Calculator'!J64/SQRT('Bulk Calculator'!S64)/1000,"")</f>
        <v>11.191520227386446</v>
      </c>
      <c r="L731">
        <f>IF(OR('Bulk Calculator'!R64="",'Bulk Calculator'!S64="",G731=""),0,IF(K731&gt;='Bulk Calculator'!R64,1,0))</f>
        <v>1</v>
      </c>
      <c r="M731">
        <f>IF(AND(H731=1,I731&lt;='OS-DORAEN'!$B$6,J731&lt;='OS-DORAEN'!$B$5,L731=1),1,0)</f>
        <v>1</v>
      </c>
      <c r="N731" t="str">
        <f t="shared" si="11"/>
        <v>R/X</v>
      </c>
    </row>
    <row r="732" spans="1:14" ht="15" customHeight="1" x14ac:dyDescent="0.35">
      <c r="A732">
        <v>64</v>
      </c>
      <c r="B732">
        <v>25</v>
      </c>
      <c r="C732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Master'!$F:$F,B732),"")</f>
        <v>96</v>
      </c>
      <c r="D732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Master'!$F:$F,B732),"")</f>
        <v>1.54</v>
      </c>
      <c r="E732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Master'!$F:$F,B732),"")</f>
        <v>1.54</v>
      </c>
      <c r="F732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Master'!$F:$F,B732),"")</f>
        <v>0.08</v>
      </c>
      <c r="G732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Master'!$F:$F,B732),"")</f>
        <v>143</v>
      </c>
      <c r="H732">
        <f>IF(AND(ISNUMBER(C732),C732&gt;='Bulk Calculator'!U64/('Bulk Calculator'!J64*'Bulk Calculator'!L64)),1,0)</f>
        <v>1</v>
      </c>
      <c r="I732">
        <f>IFERROR(IF(AND(ISNUMBER(E732),ISNUMBER(F732),E732&gt;0,F732&gt;0),SQRT(3)*'Bulk Calculator'!O64*'Bulk Calculator'!AA64*((E732*'Bulk Calculator'!Q64)+(F732*SQRT(1-'Bulk Calculator'!Q64^2)))/'Bulk Calculator'!J64/'Bulk Calculator'!K64*100,D732*'Bulk Calculator'!AA64*'Bulk Calculator'!O64/'Bulk Calculator'!J64/'Bulk Calculator'!K64*100),"")</f>
        <v>0</v>
      </c>
      <c r="J732">
        <f>IFERROR(IF(AND(ISNUMBER(E732),ISNUMBER(F732),E732&gt;0,F732&gt;0),SQRT(3)*'Bulk Calculator'!O64*'Bulk Calculator'!U64*((E732*'Bulk Calculator'!M64)+(F732*SQRT(1-'Bulk Calculator'!M64^2)))/'Bulk Calculator'!J64/'Bulk Calculator'!K64*100,D732*'Bulk Calculator'!U64*'Bulk Calculator'!O64/'Bulk Calculator'!J64/'Bulk Calculator'!K64*100),"")</f>
        <v>0</v>
      </c>
      <c r="K732">
        <f>IFERROR(G732*B732*'Bulk Calculator'!J64/SQRT('Bulk Calculator'!S64)/1000,"")</f>
        <v>7.9939430195617485</v>
      </c>
      <c r="L732">
        <f>IF(OR('Bulk Calculator'!R64="",'Bulk Calculator'!S64="",G732=""),0,IF(K732&gt;='Bulk Calculator'!R64,1,0))</f>
        <v>1</v>
      </c>
      <c r="M732">
        <f>IF(AND(H732=1,I732&lt;='OS-DORAEN'!$B$6,J732&lt;='OS-DORAEN'!$B$5,L732=1),1,0)</f>
        <v>1</v>
      </c>
      <c r="N732" t="str">
        <f t="shared" si="11"/>
        <v>R/X</v>
      </c>
    </row>
    <row r="733" spans="1:14" ht="15" customHeight="1" x14ac:dyDescent="0.35">
      <c r="A733">
        <v>64</v>
      </c>
      <c r="B733">
        <v>16</v>
      </c>
      <c r="C733">
        <f>IFERROR(SUMIFS('Cable Data Master'!$G:$G,'Cable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Master'!$F:$F,B733),"")</f>
        <v>0</v>
      </c>
      <c r="D733">
        <f>IFERROR(SUMIFS('Cable Data Master'!$K:$K,'Cable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Master'!$F:$F,B733),"")</f>
        <v>0</v>
      </c>
      <c r="E733">
        <f>IFERROR(SUMIFS('Cable Data Master'!$H:$H,'Cable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Master'!$F:$F,B733),"")</f>
        <v>0</v>
      </c>
      <c r="F733">
        <f>IFERROR(SUMIFS('Cable Data Master'!$I:$I,'Cable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Master'!$F:$F,B733),"")</f>
        <v>0</v>
      </c>
      <c r="G733">
        <f>IFERROR(SUMIFS('Cable Data Master'!$J:$J,'Cable Data Master'!$A:$A,'Bulk Calculator'!$BF64,'Cable Data Master'!$B:$B,'Bulk Calculator'!$BG64,'Cable Data Master'!$C:$C,'Bulk Calculator'!$BH64,'Cable Data Master'!$D:$D,'Bulk Calculator'!$BI64,'Cable Data Master'!$E:$E,'Bulk Calculator'!$BJ64,'Cable Data Master'!$F:$F,B733),"")</f>
        <v>0</v>
      </c>
      <c r="H733">
        <f>IF(AND(ISNUMBER(C733),C733&gt;='Bulk Calculator'!U64/('Bulk Calculator'!J64*'Bulk Calculator'!L64)),1,0)</f>
        <v>1</v>
      </c>
      <c r="I733">
        <f>IFERROR(IF(AND(ISNUMBER(E733),ISNUMBER(F733),E733&gt;0,F733&gt;0),SQRT(3)*'Bulk Calculator'!O64*'Bulk Calculator'!AA64*((E733*'Bulk Calculator'!Q64)+(F733*SQRT(1-'Bulk Calculator'!Q64^2)))/'Bulk Calculator'!J64/'Bulk Calculator'!K64*100,D733*'Bulk Calculator'!AA64*'Bulk Calculator'!O64/'Bulk Calculator'!J64/'Bulk Calculator'!K64*100),"")</f>
        <v>0</v>
      </c>
      <c r="J733">
        <f>IFERROR(IF(AND(ISNUMBER(E733),ISNUMBER(F733),E733&gt;0,F733&gt;0),SQRT(3)*'Bulk Calculator'!O64*'Bulk Calculator'!U64*((E733*'Bulk Calculator'!M64)+(F733*SQRT(1-'Bulk Calculator'!M64^2)))/'Bulk Calculator'!J64/'Bulk Calculator'!K64*100,D733*'Bulk Calculator'!U64*'Bulk Calculator'!O64/'Bulk Calculator'!J64/'Bulk Calculator'!K64*100),"")</f>
        <v>0</v>
      </c>
      <c r="K733">
        <f>IFERROR(G733*B733*'Bulk Calculator'!J64/SQRT('Bulk Calculator'!S64)/1000,"")</f>
        <v>0</v>
      </c>
      <c r="L733">
        <f>IF(OR('Bulk Calculator'!R64="",'Bulk Calculator'!S64="",G733=""),0,IF(K733&gt;='Bulk Calculator'!R64,1,0))</f>
        <v>1</v>
      </c>
      <c r="M733">
        <f>IF(AND(H733=1,I733&lt;='OS-DORAEN'!$B$6,J733&lt;='OS-DORAEN'!$B$5,L733=1),1,0)</f>
        <v>1</v>
      </c>
      <c r="N733" t="str">
        <f t="shared" si="11"/>
        <v>Manufacturer VD Ref</v>
      </c>
    </row>
    <row r="734" spans="1:14" ht="15" customHeight="1" x14ac:dyDescent="0.35">
      <c r="A734">
        <v>65</v>
      </c>
      <c r="B734">
        <v>400</v>
      </c>
      <c r="C734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Master'!$F:$F,B734),"")</f>
        <v>530</v>
      </c>
      <c r="D734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Master'!$F:$F,B734),"")</f>
        <v>0.1023</v>
      </c>
      <c r="E734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Master'!$F:$F,B734),"")</f>
        <v>0.1023</v>
      </c>
      <c r="F734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Master'!$F:$F,B734),"")</f>
        <v>7.0000000000000007E-2</v>
      </c>
      <c r="G734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Master'!$F:$F,B734),"")</f>
        <v>143</v>
      </c>
      <c r="H734">
        <f>IF(AND(ISNUMBER(C734),C734&gt;='Bulk Calculator'!U65/('Bulk Calculator'!J65*'Bulk Calculator'!L65)),1,0)</f>
        <v>1</v>
      </c>
      <c r="I734">
        <f>IFERROR(IF(AND(ISNUMBER(E734),ISNUMBER(F734),E734&gt;0,F734&gt;0),SQRT(3)*'Bulk Calculator'!O65*'Bulk Calculator'!AA65*((E734*'Bulk Calculator'!Q65)+(F734*SQRT(1-'Bulk Calculator'!Q65^2)))/'Bulk Calculator'!J65/'Bulk Calculator'!K65*100,D734*'Bulk Calculator'!AA65*'Bulk Calculator'!O65/'Bulk Calculator'!J65/'Bulk Calculator'!K65*100),"")</f>
        <v>0</v>
      </c>
      <c r="J734">
        <f>IFERROR(IF(AND(ISNUMBER(E734),ISNUMBER(F734),E734&gt;0,F734&gt;0),SQRT(3)*'Bulk Calculator'!O65*'Bulk Calculator'!U65*((E734*'Bulk Calculator'!M65)+(F734*SQRT(1-'Bulk Calculator'!M65^2)))/'Bulk Calculator'!J65/'Bulk Calculator'!K65*100,D734*'Bulk Calculator'!U65*'Bulk Calculator'!O65/'Bulk Calculator'!J65/'Bulk Calculator'!K65*100),"")</f>
        <v>0</v>
      </c>
      <c r="K734">
        <f>IFERROR(G734*B734*'Bulk Calculator'!J65/SQRT('Bulk Calculator'!S65)/1000,"")</f>
        <v>127.90308831298798</v>
      </c>
      <c r="L734">
        <f>IF(OR('Bulk Calculator'!R65="",'Bulk Calculator'!S65="",G734=""),0,IF(K734&gt;='Bulk Calculator'!R65,1,0))</f>
        <v>1</v>
      </c>
      <c r="M734">
        <f>IF(AND(H734=1,I734&lt;='OS-DORAEN'!$B$6,J734&lt;='OS-DORAEN'!$B$5,L734=1),1,0)</f>
        <v>1</v>
      </c>
      <c r="N734" t="str">
        <f t="shared" si="11"/>
        <v>R/X</v>
      </c>
    </row>
    <row r="735" spans="1:14" ht="15" customHeight="1" x14ac:dyDescent="0.35">
      <c r="A735">
        <v>65</v>
      </c>
      <c r="B735">
        <v>300</v>
      </c>
      <c r="C735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Master'!$F:$F,B735),"")</f>
        <v>455</v>
      </c>
      <c r="D735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Master'!$F:$F,B735),"")</f>
        <v>0.13</v>
      </c>
      <c r="E735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Master'!$F:$F,B735),"")</f>
        <v>0.13</v>
      </c>
      <c r="F735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Master'!$F:$F,B735),"")</f>
        <v>7.0999999999999994E-2</v>
      </c>
      <c r="G735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Master'!$F:$F,B735),"")</f>
        <v>143</v>
      </c>
      <c r="H735">
        <f>IF(AND(ISNUMBER(C735),C735&gt;='Bulk Calculator'!U65/('Bulk Calculator'!J65*'Bulk Calculator'!L65)),1,0)</f>
        <v>1</v>
      </c>
      <c r="I735">
        <f>IFERROR(IF(AND(ISNUMBER(E735),ISNUMBER(F735),E735&gt;0,F735&gt;0),SQRT(3)*'Bulk Calculator'!O65*'Bulk Calculator'!AA65*((E735*'Bulk Calculator'!Q65)+(F735*SQRT(1-'Bulk Calculator'!Q65^2)))/'Bulk Calculator'!J65/'Bulk Calculator'!K65*100,D735*'Bulk Calculator'!AA65*'Bulk Calculator'!O65/'Bulk Calculator'!J65/'Bulk Calculator'!K65*100),"")</f>
        <v>0</v>
      </c>
      <c r="J735">
        <f>IFERROR(IF(AND(ISNUMBER(E735),ISNUMBER(F735),E735&gt;0,F735&gt;0),SQRT(3)*'Bulk Calculator'!O65*'Bulk Calculator'!U65*((E735*'Bulk Calculator'!M65)+(F735*SQRT(1-'Bulk Calculator'!M65^2)))/'Bulk Calculator'!J65/'Bulk Calculator'!K65*100,D735*'Bulk Calculator'!U65*'Bulk Calculator'!O65/'Bulk Calculator'!J65/'Bulk Calculator'!K65*100),"")</f>
        <v>0</v>
      </c>
      <c r="K735">
        <f>IFERROR(G735*B735*'Bulk Calculator'!J65/SQRT('Bulk Calculator'!S65)/1000,"")</f>
        <v>95.927316234740985</v>
      </c>
      <c r="L735">
        <f>IF(OR('Bulk Calculator'!R65="",'Bulk Calculator'!S65="",G735=""),0,IF(K735&gt;='Bulk Calculator'!R65,1,0))</f>
        <v>1</v>
      </c>
      <c r="M735">
        <f>IF(AND(H735=1,I735&lt;='OS-DORAEN'!$B$6,J735&lt;='OS-DORAEN'!$B$5,L735=1),1,0)</f>
        <v>1</v>
      </c>
      <c r="N735" t="str">
        <f t="shared" si="11"/>
        <v>R/X</v>
      </c>
    </row>
    <row r="736" spans="1:14" ht="15" customHeight="1" x14ac:dyDescent="0.35">
      <c r="A736">
        <v>65</v>
      </c>
      <c r="B736">
        <v>240</v>
      </c>
      <c r="C736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Master'!$F:$F,B736),"")</f>
        <v>399</v>
      </c>
      <c r="D736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Master'!$F:$F,B736),"")</f>
        <v>0.16200000000000001</v>
      </c>
      <c r="E736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Master'!$F:$F,B736),"")</f>
        <v>0.16200000000000001</v>
      </c>
      <c r="F736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Master'!$F:$F,B736),"")</f>
        <v>7.1999999999999995E-2</v>
      </c>
      <c r="G736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Master'!$F:$F,B736),"")</f>
        <v>143</v>
      </c>
      <c r="H736">
        <f>IF(AND(ISNUMBER(C736),C736&gt;='Bulk Calculator'!U65/('Bulk Calculator'!J65*'Bulk Calculator'!L65)),1,0)</f>
        <v>1</v>
      </c>
      <c r="I736">
        <f>IFERROR(IF(AND(ISNUMBER(E736),ISNUMBER(F736),E736&gt;0,F736&gt;0),SQRT(3)*'Bulk Calculator'!O65*'Bulk Calculator'!AA65*((E736*'Bulk Calculator'!Q65)+(F736*SQRT(1-'Bulk Calculator'!Q65^2)))/'Bulk Calculator'!J65/'Bulk Calculator'!K65*100,D736*'Bulk Calculator'!AA65*'Bulk Calculator'!O65/'Bulk Calculator'!J65/'Bulk Calculator'!K65*100),"")</f>
        <v>0</v>
      </c>
      <c r="J736">
        <f>IFERROR(IF(AND(ISNUMBER(E736),ISNUMBER(F736),E736&gt;0,F736&gt;0),SQRT(3)*'Bulk Calculator'!O65*'Bulk Calculator'!U65*((E736*'Bulk Calculator'!M65)+(F736*SQRT(1-'Bulk Calculator'!M65^2)))/'Bulk Calculator'!J65/'Bulk Calculator'!K65*100,D736*'Bulk Calculator'!U65*'Bulk Calculator'!O65/'Bulk Calculator'!J65/'Bulk Calculator'!K65*100),"")</f>
        <v>0</v>
      </c>
      <c r="K736">
        <f>IFERROR(G736*B736*'Bulk Calculator'!J65/SQRT('Bulk Calculator'!S65)/1000,"")</f>
        <v>76.741852987792782</v>
      </c>
      <c r="L736">
        <f>IF(OR('Bulk Calculator'!R65="",'Bulk Calculator'!S65="",G736=""),0,IF(K736&gt;='Bulk Calculator'!R65,1,0))</f>
        <v>1</v>
      </c>
      <c r="M736">
        <f>IF(AND(H736=1,I736&lt;='OS-DORAEN'!$B$6,J736&lt;='OS-DORAEN'!$B$5,L736=1),1,0)</f>
        <v>1</v>
      </c>
      <c r="N736" t="str">
        <f t="shared" si="11"/>
        <v>R/X</v>
      </c>
    </row>
    <row r="737" spans="1:14" ht="15" customHeight="1" x14ac:dyDescent="0.35">
      <c r="A737">
        <v>65</v>
      </c>
      <c r="B737">
        <v>185</v>
      </c>
      <c r="C737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Master'!$F:$F,B737),"")</f>
        <v>337</v>
      </c>
      <c r="D737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Master'!$F:$F,B737),"")</f>
        <v>0.21099999999999999</v>
      </c>
      <c r="E737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Master'!$F:$F,B737),"")</f>
        <v>0.21099999999999999</v>
      </c>
      <c r="F737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Master'!$F:$F,B737),"")</f>
        <v>7.1999999999999995E-2</v>
      </c>
      <c r="G737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Master'!$F:$F,B737),"")</f>
        <v>143</v>
      </c>
      <c r="H737">
        <f>IF(AND(ISNUMBER(C737),C737&gt;='Bulk Calculator'!U65/('Bulk Calculator'!J65*'Bulk Calculator'!L65)),1,0)</f>
        <v>1</v>
      </c>
      <c r="I737">
        <f>IFERROR(IF(AND(ISNUMBER(E737),ISNUMBER(F737),E737&gt;0,F737&gt;0),SQRT(3)*'Bulk Calculator'!O65*'Bulk Calculator'!AA65*((E737*'Bulk Calculator'!Q65)+(F737*SQRT(1-'Bulk Calculator'!Q65^2)))/'Bulk Calculator'!J65/'Bulk Calculator'!K65*100,D737*'Bulk Calculator'!AA65*'Bulk Calculator'!O65/'Bulk Calculator'!J65/'Bulk Calculator'!K65*100),"")</f>
        <v>0</v>
      </c>
      <c r="J737">
        <f>IFERROR(IF(AND(ISNUMBER(E737),ISNUMBER(F737),E737&gt;0,F737&gt;0),SQRT(3)*'Bulk Calculator'!O65*'Bulk Calculator'!U65*((E737*'Bulk Calculator'!M65)+(F737*SQRT(1-'Bulk Calculator'!M65^2)))/'Bulk Calculator'!J65/'Bulk Calculator'!K65*100,D737*'Bulk Calculator'!U65*'Bulk Calculator'!O65/'Bulk Calculator'!J65/'Bulk Calculator'!K65*100),"")</f>
        <v>0</v>
      </c>
      <c r="K737">
        <f>IFERROR(G737*B737*'Bulk Calculator'!J65/SQRT('Bulk Calculator'!S65)/1000,"")</f>
        <v>59.155178344756941</v>
      </c>
      <c r="L737">
        <f>IF(OR('Bulk Calculator'!R65="",'Bulk Calculator'!S65="",G737=""),0,IF(K737&gt;='Bulk Calculator'!R65,1,0))</f>
        <v>1</v>
      </c>
      <c r="M737">
        <f>IF(AND(H737=1,I737&lt;='OS-DORAEN'!$B$6,J737&lt;='OS-DORAEN'!$B$5,L737=1),1,0)</f>
        <v>1</v>
      </c>
      <c r="N737" t="str">
        <f t="shared" si="11"/>
        <v>R/X</v>
      </c>
    </row>
    <row r="738" spans="1:14" ht="15" customHeight="1" x14ac:dyDescent="0.35">
      <c r="A738">
        <v>65</v>
      </c>
      <c r="B738">
        <v>150</v>
      </c>
      <c r="C738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Master'!$F:$F,B738),"")</f>
        <v>292</v>
      </c>
      <c r="D738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Master'!$F:$F,B738),"")</f>
        <v>0.26500000000000001</v>
      </c>
      <c r="E738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Master'!$F:$F,B738),"")</f>
        <v>0.26500000000000001</v>
      </c>
      <c r="F738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Master'!$F:$F,B738),"")</f>
        <v>7.1999999999999995E-2</v>
      </c>
      <c r="G738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Master'!$F:$F,B738),"")</f>
        <v>143</v>
      </c>
      <c r="H738">
        <f>IF(AND(ISNUMBER(C738),C738&gt;='Bulk Calculator'!U65/('Bulk Calculator'!J65*'Bulk Calculator'!L65)),1,0)</f>
        <v>1</v>
      </c>
      <c r="I738">
        <f>IFERROR(IF(AND(ISNUMBER(E738),ISNUMBER(F738),E738&gt;0,F738&gt;0),SQRT(3)*'Bulk Calculator'!O65*'Bulk Calculator'!AA65*((E738*'Bulk Calculator'!Q65)+(F738*SQRT(1-'Bulk Calculator'!Q65^2)))/'Bulk Calculator'!J65/'Bulk Calculator'!K65*100,D738*'Bulk Calculator'!AA65*'Bulk Calculator'!O65/'Bulk Calculator'!J65/'Bulk Calculator'!K65*100),"")</f>
        <v>0</v>
      </c>
      <c r="J738">
        <f>IFERROR(IF(AND(ISNUMBER(E738),ISNUMBER(F738),E738&gt;0,F738&gt;0),SQRT(3)*'Bulk Calculator'!O65*'Bulk Calculator'!U65*((E738*'Bulk Calculator'!M65)+(F738*SQRT(1-'Bulk Calculator'!M65^2)))/'Bulk Calculator'!J65/'Bulk Calculator'!K65*100,D738*'Bulk Calculator'!U65*'Bulk Calculator'!O65/'Bulk Calculator'!J65/'Bulk Calculator'!K65*100),"")</f>
        <v>0</v>
      </c>
      <c r="K738">
        <f>IFERROR(G738*B738*'Bulk Calculator'!J65/SQRT('Bulk Calculator'!S65)/1000,"")</f>
        <v>47.963658117370493</v>
      </c>
      <c r="L738">
        <f>IF(OR('Bulk Calculator'!R65="",'Bulk Calculator'!S65="",G738=""),0,IF(K738&gt;='Bulk Calculator'!R65,1,0))</f>
        <v>1</v>
      </c>
      <c r="M738">
        <f>IF(AND(H738=1,I738&lt;='OS-DORAEN'!$B$6,J738&lt;='OS-DORAEN'!$B$5,L738=1),1,0)</f>
        <v>1</v>
      </c>
      <c r="N738" t="str">
        <f t="shared" si="11"/>
        <v>R/X</v>
      </c>
    </row>
    <row r="739" spans="1:14" ht="15" customHeight="1" x14ac:dyDescent="0.35">
      <c r="A739">
        <v>65</v>
      </c>
      <c r="B739">
        <v>120</v>
      </c>
      <c r="C739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Master'!$F:$F,B739),"")</f>
        <v>257</v>
      </c>
      <c r="D739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Master'!$F:$F,B739),"")</f>
        <v>0.32500000000000001</v>
      </c>
      <c r="E739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Master'!$F:$F,B739),"")</f>
        <v>0.32500000000000001</v>
      </c>
      <c r="F739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Master'!$F:$F,B739),"")</f>
        <v>7.1999999999999995E-2</v>
      </c>
      <c r="G739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Master'!$F:$F,B739),"")</f>
        <v>143</v>
      </c>
      <c r="H739">
        <f>IF(AND(ISNUMBER(C739),C739&gt;='Bulk Calculator'!U65/('Bulk Calculator'!J65*'Bulk Calculator'!L65)),1,0)</f>
        <v>1</v>
      </c>
      <c r="I739">
        <f>IFERROR(IF(AND(ISNUMBER(E739),ISNUMBER(F739),E739&gt;0,F739&gt;0),SQRT(3)*'Bulk Calculator'!O65*'Bulk Calculator'!AA65*((E739*'Bulk Calculator'!Q65)+(F739*SQRT(1-'Bulk Calculator'!Q65^2)))/'Bulk Calculator'!J65/'Bulk Calculator'!K65*100,D739*'Bulk Calculator'!AA65*'Bulk Calculator'!O65/'Bulk Calculator'!J65/'Bulk Calculator'!K65*100),"")</f>
        <v>0</v>
      </c>
      <c r="J739">
        <f>IFERROR(IF(AND(ISNUMBER(E739),ISNUMBER(F739),E739&gt;0,F739&gt;0),SQRT(3)*'Bulk Calculator'!O65*'Bulk Calculator'!U65*((E739*'Bulk Calculator'!M65)+(F739*SQRT(1-'Bulk Calculator'!M65^2)))/'Bulk Calculator'!J65/'Bulk Calculator'!K65*100,D739*'Bulk Calculator'!U65*'Bulk Calculator'!O65/'Bulk Calculator'!J65/'Bulk Calculator'!K65*100),"")</f>
        <v>0</v>
      </c>
      <c r="K739">
        <f>IFERROR(G739*B739*'Bulk Calculator'!J65/SQRT('Bulk Calculator'!S65)/1000,"")</f>
        <v>38.370926493896391</v>
      </c>
      <c r="L739">
        <f>IF(OR('Bulk Calculator'!R65="",'Bulk Calculator'!S65="",G739=""),0,IF(K739&gt;='Bulk Calculator'!R65,1,0))</f>
        <v>1</v>
      </c>
      <c r="M739">
        <f>IF(AND(H739=1,I739&lt;='OS-DORAEN'!$B$6,J739&lt;='OS-DORAEN'!$B$5,L739=1),1,0)</f>
        <v>1</v>
      </c>
      <c r="N739" t="str">
        <f t="shared" si="11"/>
        <v>R/X</v>
      </c>
    </row>
    <row r="740" spans="1:14" ht="15" customHeight="1" x14ac:dyDescent="0.35">
      <c r="A740">
        <v>65</v>
      </c>
      <c r="B740">
        <v>95</v>
      </c>
      <c r="C740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Master'!$F:$F,B740),"")</f>
        <v>221</v>
      </c>
      <c r="D740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Master'!$F:$F,B740),"")</f>
        <v>0.41</v>
      </c>
      <c r="E740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Master'!$F:$F,B740),"")</f>
        <v>0.41</v>
      </c>
      <c r="F740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Master'!$F:$F,B740),"")</f>
        <v>7.3999999999999996E-2</v>
      </c>
      <c r="G740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Master'!$F:$F,B740),"")</f>
        <v>143</v>
      </c>
      <c r="H740">
        <f>IF(AND(ISNUMBER(C740),C740&gt;='Bulk Calculator'!U65/('Bulk Calculator'!J65*'Bulk Calculator'!L65)),1,0)</f>
        <v>1</v>
      </c>
      <c r="I740">
        <f>IFERROR(IF(AND(ISNUMBER(E740),ISNUMBER(F740),E740&gt;0,F740&gt;0),SQRT(3)*'Bulk Calculator'!O65*'Bulk Calculator'!AA65*((E740*'Bulk Calculator'!Q65)+(F740*SQRT(1-'Bulk Calculator'!Q65^2)))/'Bulk Calculator'!J65/'Bulk Calculator'!K65*100,D740*'Bulk Calculator'!AA65*'Bulk Calculator'!O65/'Bulk Calculator'!J65/'Bulk Calculator'!K65*100),"")</f>
        <v>0</v>
      </c>
      <c r="J740">
        <f>IFERROR(IF(AND(ISNUMBER(E740),ISNUMBER(F740),E740&gt;0,F740&gt;0),SQRT(3)*'Bulk Calculator'!O65*'Bulk Calculator'!U65*((E740*'Bulk Calculator'!M65)+(F740*SQRT(1-'Bulk Calculator'!M65^2)))/'Bulk Calculator'!J65/'Bulk Calculator'!K65*100,D740*'Bulk Calculator'!U65*'Bulk Calculator'!O65/'Bulk Calculator'!J65/'Bulk Calculator'!K65*100),"")</f>
        <v>0</v>
      </c>
      <c r="K740">
        <f>IFERROR(G740*B740*'Bulk Calculator'!J65/SQRT('Bulk Calculator'!S65)/1000,"")</f>
        <v>30.376983474334644</v>
      </c>
      <c r="L740">
        <f>IF(OR('Bulk Calculator'!R65="",'Bulk Calculator'!S65="",G740=""),0,IF(K740&gt;='Bulk Calculator'!R65,1,0))</f>
        <v>1</v>
      </c>
      <c r="M740">
        <f>IF(AND(H740=1,I740&lt;='OS-DORAEN'!$B$6,J740&lt;='OS-DORAEN'!$B$5,L740=1),1,0)</f>
        <v>1</v>
      </c>
      <c r="N740" t="str">
        <f t="shared" si="11"/>
        <v>R/X</v>
      </c>
    </row>
    <row r="741" spans="1:14" ht="15" customHeight="1" x14ac:dyDescent="0.35">
      <c r="A741">
        <v>65</v>
      </c>
      <c r="B741">
        <v>70</v>
      </c>
      <c r="C741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Master'!$F:$F,B741),"")</f>
        <v>179</v>
      </c>
      <c r="D741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Master'!$F:$F,B741),"")</f>
        <v>0.56699999999999995</v>
      </c>
      <c r="E741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Master'!$F:$F,B741),"")</f>
        <v>0.56699999999999995</v>
      </c>
      <c r="F741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Master'!$F:$F,B741),"")</f>
        <v>7.6999999999999999E-2</v>
      </c>
      <c r="G741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Master'!$F:$F,B741),"")</f>
        <v>143</v>
      </c>
      <c r="H741">
        <f>IF(AND(ISNUMBER(C741),C741&gt;='Bulk Calculator'!U65/('Bulk Calculator'!J65*'Bulk Calculator'!L65)),1,0)</f>
        <v>1</v>
      </c>
      <c r="I741">
        <f>IFERROR(IF(AND(ISNUMBER(E741),ISNUMBER(F741),E741&gt;0,F741&gt;0),SQRT(3)*'Bulk Calculator'!O65*'Bulk Calculator'!AA65*((E741*'Bulk Calculator'!Q65)+(F741*SQRT(1-'Bulk Calculator'!Q65^2)))/'Bulk Calculator'!J65/'Bulk Calculator'!K65*100,D741*'Bulk Calculator'!AA65*'Bulk Calculator'!O65/'Bulk Calculator'!J65/'Bulk Calculator'!K65*100),"")</f>
        <v>0</v>
      </c>
      <c r="J741">
        <f>IFERROR(IF(AND(ISNUMBER(E741),ISNUMBER(F741),E741&gt;0,F741&gt;0),SQRT(3)*'Bulk Calculator'!O65*'Bulk Calculator'!U65*((E741*'Bulk Calculator'!M65)+(F741*SQRT(1-'Bulk Calculator'!M65^2)))/'Bulk Calculator'!J65/'Bulk Calculator'!K65*100,D741*'Bulk Calculator'!U65*'Bulk Calculator'!O65/'Bulk Calculator'!J65/'Bulk Calculator'!K65*100),"")</f>
        <v>0</v>
      </c>
      <c r="K741">
        <f>IFERROR(G741*B741*'Bulk Calculator'!J65/SQRT('Bulk Calculator'!S65)/1000,"")</f>
        <v>22.383040454772893</v>
      </c>
      <c r="L741">
        <f>IF(OR('Bulk Calculator'!R65="",'Bulk Calculator'!S65="",G741=""),0,IF(K741&gt;='Bulk Calculator'!R65,1,0))</f>
        <v>1</v>
      </c>
      <c r="M741">
        <f>IF(AND(H741=1,I741&lt;='OS-DORAEN'!$B$6,J741&lt;='OS-DORAEN'!$B$5,L741=1),1,0)</f>
        <v>1</v>
      </c>
      <c r="N741" t="str">
        <f t="shared" si="11"/>
        <v>R/X</v>
      </c>
    </row>
    <row r="742" spans="1:14" ht="15" customHeight="1" x14ac:dyDescent="0.35">
      <c r="A742">
        <v>65</v>
      </c>
      <c r="B742">
        <v>50</v>
      </c>
      <c r="C742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Master'!$F:$F,B742),"")</f>
        <v>142</v>
      </c>
      <c r="D742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Master'!$F:$F,B742),"")</f>
        <v>0.82</v>
      </c>
      <c r="E742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Master'!$F:$F,B742),"")</f>
        <v>0.82</v>
      </c>
      <c r="F742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Master'!$F:$F,B742),"")</f>
        <v>7.8E-2</v>
      </c>
      <c r="G742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Master'!$F:$F,B742),"")</f>
        <v>143</v>
      </c>
      <c r="H742">
        <f>IF(AND(ISNUMBER(C742),C742&gt;='Bulk Calculator'!U65/('Bulk Calculator'!J65*'Bulk Calculator'!L65)),1,0)</f>
        <v>1</v>
      </c>
      <c r="I742">
        <f>IFERROR(IF(AND(ISNUMBER(E742),ISNUMBER(F742),E742&gt;0,F742&gt;0),SQRT(3)*'Bulk Calculator'!O65*'Bulk Calculator'!AA65*((E742*'Bulk Calculator'!Q65)+(F742*SQRT(1-'Bulk Calculator'!Q65^2)))/'Bulk Calculator'!J65/'Bulk Calculator'!K65*100,D742*'Bulk Calculator'!AA65*'Bulk Calculator'!O65/'Bulk Calculator'!J65/'Bulk Calculator'!K65*100),"")</f>
        <v>0</v>
      </c>
      <c r="J742">
        <f>IFERROR(IF(AND(ISNUMBER(E742),ISNUMBER(F742),E742&gt;0,F742&gt;0),SQRT(3)*'Bulk Calculator'!O65*'Bulk Calculator'!U65*((E742*'Bulk Calculator'!M65)+(F742*SQRT(1-'Bulk Calculator'!M65^2)))/'Bulk Calculator'!J65/'Bulk Calculator'!K65*100,D742*'Bulk Calculator'!U65*'Bulk Calculator'!O65/'Bulk Calculator'!J65/'Bulk Calculator'!K65*100),"")</f>
        <v>0</v>
      </c>
      <c r="K742">
        <f>IFERROR(G742*B742*'Bulk Calculator'!J65/SQRT('Bulk Calculator'!S65)/1000,"")</f>
        <v>15.987886039123497</v>
      </c>
      <c r="L742">
        <f>IF(OR('Bulk Calculator'!R65="",'Bulk Calculator'!S65="",G742=""),0,IF(K742&gt;='Bulk Calculator'!R65,1,0))</f>
        <v>1</v>
      </c>
      <c r="M742">
        <f>IF(AND(H742=1,I742&lt;='OS-DORAEN'!$B$6,J742&lt;='OS-DORAEN'!$B$5,L742=1),1,0)</f>
        <v>1</v>
      </c>
      <c r="N742" t="str">
        <f t="shared" si="11"/>
        <v>R/X</v>
      </c>
    </row>
    <row r="743" spans="1:14" ht="15" customHeight="1" x14ac:dyDescent="0.35">
      <c r="A743">
        <v>65</v>
      </c>
      <c r="B743">
        <v>35</v>
      </c>
      <c r="C743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Master'!$F:$F,B743),"")</f>
        <v>117</v>
      </c>
      <c r="D743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Master'!$F:$F,B743),"")</f>
        <v>1.1100000000000001</v>
      </c>
      <c r="E743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Master'!$F:$F,B743),"")</f>
        <v>1.1100000000000001</v>
      </c>
      <c r="F743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Master'!$F:$F,B743),"")</f>
        <v>0.08</v>
      </c>
      <c r="G743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Master'!$F:$F,B743),"")</f>
        <v>143</v>
      </c>
      <c r="H743">
        <f>IF(AND(ISNUMBER(C743),C743&gt;='Bulk Calculator'!U65/('Bulk Calculator'!J65*'Bulk Calculator'!L65)),1,0)</f>
        <v>1</v>
      </c>
      <c r="I743">
        <f>IFERROR(IF(AND(ISNUMBER(E743),ISNUMBER(F743),E743&gt;0,F743&gt;0),SQRT(3)*'Bulk Calculator'!O65*'Bulk Calculator'!AA65*((E743*'Bulk Calculator'!Q65)+(F743*SQRT(1-'Bulk Calculator'!Q65^2)))/'Bulk Calculator'!J65/'Bulk Calculator'!K65*100,D743*'Bulk Calculator'!AA65*'Bulk Calculator'!O65/'Bulk Calculator'!J65/'Bulk Calculator'!K65*100),"")</f>
        <v>0</v>
      </c>
      <c r="J743">
        <f>IFERROR(IF(AND(ISNUMBER(E743),ISNUMBER(F743),E743&gt;0,F743&gt;0),SQRT(3)*'Bulk Calculator'!O65*'Bulk Calculator'!U65*((E743*'Bulk Calculator'!M65)+(F743*SQRT(1-'Bulk Calculator'!M65^2)))/'Bulk Calculator'!J65/'Bulk Calculator'!K65*100,D743*'Bulk Calculator'!U65*'Bulk Calculator'!O65/'Bulk Calculator'!J65/'Bulk Calculator'!K65*100),"")</f>
        <v>0</v>
      </c>
      <c r="K743">
        <f>IFERROR(G743*B743*'Bulk Calculator'!J65/SQRT('Bulk Calculator'!S65)/1000,"")</f>
        <v>11.191520227386446</v>
      </c>
      <c r="L743">
        <f>IF(OR('Bulk Calculator'!R65="",'Bulk Calculator'!S65="",G743=""),0,IF(K743&gt;='Bulk Calculator'!R65,1,0))</f>
        <v>1</v>
      </c>
      <c r="M743">
        <f>IF(AND(H743=1,I743&lt;='OS-DORAEN'!$B$6,J743&lt;='OS-DORAEN'!$B$5,L743=1),1,0)</f>
        <v>1</v>
      </c>
      <c r="N743" t="str">
        <f t="shared" si="11"/>
        <v>R/X</v>
      </c>
    </row>
    <row r="744" spans="1:14" ht="15" customHeight="1" x14ac:dyDescent="0.35">
      <c r="A744">
        <v>65</v>
      </c>
      <c r="B744">
        <v>25</v>
      </c>
      <c r="C744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Master'!$F:$F,B744),"")</f>
        <v>96</v>
      </c>
      <c r="D744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Master'!$F:$F,B744),"")</f>
        <v>1.54</v>
      </c>
      <c r="E744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Master'!$F:$F,B744),"")</f>
        <v>1.54</v>
      </c>
      <c r="F744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Master'!$F:$F,B744),"")</f>
        <v>0.08</v>
      </c>
      <c r="G744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Master'!$F:$F,B744),"")</f>
        <v>143</v>
      </c>
      <c r="H744">
        <f>IF(AND(ISNUMBER(C744),C744&gt;='Bulk Calculator'!U65/('Bulk Calculator'!J65*'Bulk Calculator'!L65)),1,0)</f>
        <v>1</v>
      </c>
      <c r="I744">
        <f>IFERROR(IF(AND(ISNUMBER(E744),ISNUMBER(F744),E744&gt;0,F744&gt;0),SQRT(3)*'Bulk Calculator'!O65*'Bulk Calculator'!AA65*((E744*'Bulk Calculator'!Q65)+(F744*SQRT(1-'Bulk Calculator'!Q65^2)))/'Bulk Calculator'!J65/'Bulk Calculator'!K65*100,D744*'Bulk Calculator'!AA65*'Bulk Calculator'!O65/'Bulk Calculator'!J65/'Bulk Calculator'!K65*100),"")</f>
        <v>0</v>
      </c>
      <c r="J744">
        <f>IFERROR(IF(AND(ISNUMBER(E744),ISNUMBER(F744),E744&gt;0,F744&gt;0),SQRT(3)*'Bulk Calculator'!O65*'Bulk Calculator'!U65*((E744*'Bulk Calculator'!M65)+(F744*SQRT(1-'Bulk Calculator'!M65^2)))/'Bulk Calculator'!J65/'Bulk Calculator'!K65*100,D744*'Bulk Calculator'!U65*'Bulk Calculator'!O65/'Bulk Calculator'!J65/'Bulk Calculator'!K65*100),"")</f>
        <v>0</v>
      </c>
      <c r="K744">
        <f>IFERROR(G744*B744*'Bulk Calculator'!J65/SQRT('Bulk Calculator'!S65)/1000,"")</f>
        <v>7.9939430195617485</v>
      </c>
      <c r="L744">
        <f>IF(OR('Bulk Calculator'!R65="",'Bulk Calculator'!S65="",G744=""),0,IF(K744&gt;='Bulk Calculator'!R65,1,0))</f>
        <v>1</v>
      </c>
      <c r="M744">
        <f>IF(AND(H744=1,I744&lt;='OS-DORAEN'!$B$6,J744&lt;='OS-DORAEN'!$B$5,L744=1),1,0)</f>
        <v>1</v>
      </c>
      <c r="N744" t="str">
        <f t="shared" si="11"/>
        <v>R/X</v>
      </c>
    </row>
    <row r="745" spans="1:14" ht="15" customHeight="1" x14ac:dyDescent="0.35">
      <c r="A745">
        <v>65</v>
      </c>
      <c r="B745">
        <v>16</v>
      </c>
      <c r="C745">
        <f>IFERROR(SUMIFS('Cable Data Master'!$G:$G,'Cable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Master'!$F:$F,B745),"")</f>
        <v>0</v>
      </c>
      <c r="D745">
        <f>IFERROR(SUMIFS('Cable Data Master'!$K:$K,'Cable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Master'!$F:$F,B745),"")</f>
        <v>0</v>
      </c>
      <c r="E745">
        <f>IFERROR(SUMIFS('Cable Data Master'!$H:$H,'Cable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Master'!$F:$F,B745),"")</f>
        <v>0</v>
      </c>
      <c r="F745">
        <f>IFERROR(SUMIFS('Cable Data Master'!$I:$I,'Cable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Master'!$F:$F,B745),"")</f>
        <v>0</v>
      </c>
      <c r="G745">
        <f>IFERROR(SUMIFS('Cable Data Master'!$J:$J,'Cable Data Master'!$A:$A,'Bulk Calculator'!$BF65,'Cable Data Master'!$B:$B,'Bulk Calculator'!$BG65,'Cable Data Master'!$C:$C,'Bulk Calculator'!$BH65,'Cable Data Master'!$D:$D,'Bulk Calculator'!$BI65,'Cable Data Master'!$E:$E,'Bulk Calculator'!$BJ65,'Cable Data Master'!$F:$F,B745),"")</f>
        <v>0</v>
      </c>
      <c r="H745">
        <f>IF(AND(ISNUMBER(C745),C745&gt;='Bulk Calculator'!U65/('Bulk Calculator'!J65*'Bulk Calculator'!L65)),1,0)</f>
        <v>1</v>
      </c>
      <c r="I745">
        <f>IFERROR(IF(AND(ISNUMBER(E745),ISNUMBER(F745),E745&gt;0,F745&gt;0),SQRT(3)*'Bulk Calculator'!O65*'Bulk Calculator'!AA65*((E745*'Bulk Calculator'!Q65)+(F745*SQRT(1-'Bulk Calculator'!Q65^2)))/'Bulk Calculator'!J65/'Bulk Calculator'!K65*100,D745*'Bulk Calculator'!AA65*'Bulk Calculator'!O65/'Bulk Calculator'!J65/'Bulk Calculator'!K65*100),"")</f>
        <v>0</v>
      </c>
      <c r="J745">
        <f>IFERROR(IF(AND(ISNUMBER(E745),ISNUMBER(F745),E745&gt;0,F745&gt;0),SQRT(3)*'Bulk Calculator'!O65*'Bulk Calculator'!U65*((E745*'Bulk Calculator'!M65)+(F745*SQRT(1-'Bulk Calculator'!M65^2)))/'Bulk Calculator'!J65/'Bulk Calculator'!K65*100,D745*'Bulk Calculator'!U65*'Bulk Calculator'!O65/'Bulk Calculator'!J65/'Bulk Calculator'!K65*100),"")</f>
        <v>0</v>
      </c>
      <c r="K745">
        <f>IFERROR(G745*B745*'Bulk Calculator'!J65/SQRT('Bulk Calculator'!S65)/1000,"")</f>
        <v>0</v>
      </c>
      <c r="L745">
        <f>IF(OR('Bulk Calculator'!R65="",'Bulk Calculator'!S65="",G745=""),0,IF(K745&gt;='Bulk Calculator'!R65,1,0))</f>
        <v>1</v>
      </c>
      <c r="M745">
        <f>IF(AND(H745=1,I745&lt;='OS-DORAEN'!$B$6,J745&lt;='OS-DORAEN'!$B$5,L745=1),1,0)</f>
        <v>1</v>
      </c>
      <c r="N745" t="str">
        <f t="shared" si="11"/>
        <v>Manufacturer VD Ref</v>
      </c>
    </row>
    <row r="746" spans="1:14" ht="15" customHeight="1" x14ac:dyDescent="0.35">
      <c r="A746">
        <v>66</v>
      </c>
      <c r="B746">
        <v>400</v>
      </c>
      <c r="C746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Master'!$F:$F,B746),"")</f>
        <v>530</v>
      </c>
      <c r="D746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Master'!$F:$F,B746),"")</f>
        <v>0.1023</v>
      </c>
      <c r="E746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Master'!$F:$F,B746),"")</f>
        <v>0.1023</v>
      </c>
      <c r="F746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Master'!$F:$F,B746),"")</f>
        <v>7.0000000000000007E-2</v>
      </c>
      <c r="G746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Master'!$F:$F,B746),"")</f>
        <v>143</v>
      </c>
      <c r="H746">
        <f>IF(AND(ISNUMBER(C746),C746&gt;='Bulk Calculator'!U66/('Bulk Calculator'!J66*'Bulk Calculator'!L66)),1,0)</f>
        <v>1</v>
      </c>
      <c r="I746">
        <f>IFERROR(IF(AND(ISNUMBER(E746),ISNUMBER(F746),E746&gt;0,F746&gt;0),SQRT(3)*'Bulk Calculator'!O66*'Bulk Calculator'!AA66*((E746*'Bulk Calculator'!Q66)+(F746*SQRT(1-'Bulk Calculator'!Q66^2)))/'Bulk Calculator'!J66/'Bulk Calculator'!K66*100,D746*'Bulk Calculator'!AA66*'Bulk Calculator'!O66/'Bulk Calculator'!J66/'Bulk Calculator'!K66*100),"")</f>
        <v>0</v>
      </c>
      <c r="J746">
        <f>IFERROR(IF(AND(ISNUMBER(E746),ISNUMBER(F746),E746&gt;0,F746&gt;0),SQRT(3)*'Bulk Calculator'!O66*'Bulk Calculator'!U66*((E746*'Bulk Calculator'!M66)+(F746*SQRT(1-'Bulk Calculator'!M66^2)))/'Bulk Calculator'!J66/'Bulk Calculator'!K66*100,D746*'Bulk Calculator'!U66*'Bulk Calculator'!O66/'Bulk Calculator'!J66/'Bulk Calculator'!K66*100),"")</f>
        <v>0</v>
      </c>
      <c r="K746">
        <f>IFERROR(G746*B746*'Bulk Calculator'!J66/SQRT('Bulk Calculator'!S66)/1000,"")</f>
        <v>127.90308831298798</v>
      </c>
      <c r="L746">
        <f>IF(OR('Bulk Calculator'!R66="",'Bulk Calculator'!S66="",G746=""),0,IF(K746&gt;='Bulk Calculator'!R66,1,0))</f>
        <v>1</v>
      </c>
      <c r="M746">
        <f>IF(AND(H746=1,I746&lt;='OS-DORAEN'!$B$6,J746&lt;='OS-DORAEN'!$B$5,L746=1),1,0)</f>
        <v>1</v>
      </c>
      <c r="N746" t="str">
        <f t="shared" si="11"/>
        <v>R/X</v>
      </c>
    </row>
    <row r="747" spans="1:14" ht="15" customHeight="1" x14ac:dyDescent="0.35">
      <c r="A747">
        <v>66</v>
      </c>
      <c r="B747">
        <v>300</v>
      </c>
      <c r="C747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Master'!$F:$F,B747),"")</f>
        <v>455</v>
      </c>
      <c r="D747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Master'!$F:$F,B747),"")</f>
        <v>0.13</v>
      </c>
      <c r="E747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Master'!$F:$F,B747),"")</f>
        <v>0.13</v>
      </c>
      <c r="F747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Master'!$F:$F,B747),"")</f>
        <v>7.0999999999999994E-2</v>
      </c>
      <c r="G747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Master'!$F:$F,B747),"")</f>
        <v>143</v>
      </c>
      <c r="H747">
        <f>IF(AND(ISNUMBER(C747),C747&gt;='Bulk Calculator'!U66/('Bulk Calculator'!J66*'Bulk Calculator'!L66)),1,0)</f>
        <v>1</v>
      </c>
      <c r="I747">
        <f>IFERROR(IF(AND(ISNUMBER(E747),ISNUMBER(F747),E747&gt;0,F747&gt;0),SQRT(3)*'Bulk Calculator'!O66*'Bulk Calculator'!AA66*((E747*'Bulk Calculator'!Q66)+(F747*SQRT(1-'Bulk Calculator'!Q66^2)))/'Bulk Calculator'!J66/'Bulk Calculator'!K66*100,D747*'Bulk Calculator'!AA66*'Bulk Calculator'!O66/'Bulk Calculator'!J66/'Bulk Calculator'!K66*100),"")</f>
        <v>0</v>
      </c>
      <c r="J747">
        <f>IFERROR(IF(AND(ISNUMBER(E747),ISNUMBER(F747),E747&gt;0,F747&gt;0),SQRT(3)*'Bulk Calculator'!O66*'Bulk Calculator'!U66*((E747*'Bulk Calculator'!M66)+(F747*SQRT(1-'Bulk Calculator'!M66^2)))/'Bulk Calculator'!J66/'Bulk Calculator'!K66*100,D747*'Bulk Calculator'!U66*'Bulk Calculator'!O66/'Bulk Calculator'!J66/'Bulk Calculator'!K66*100),"")</f>
        <v>0</v>
      </c>
      <c r="K747">
        <f>IFERROR(G747*B747*'Bulk Calculator'!J66/SQRT('Bulk Calculator'!S66)/1000,"")</f>
        <v>95.927316234740985</v>
      </c>
      <c r="L747">
        <f>IF(OR('Bulk Calculator'!R66="",'Bulk Calculator'!S66="",G747=""),0,IF(K747&gt;='Bulk Calculator'!R66,1,0))</f>
        <v>1</v>
      </c>
      <c r="M747">
        <f>IF(AND(H747=1,I747&lt;='OS-DORAEN'!$B$6,J747&lt;='OS-DORAEN'!$B$5,L747=1),1,0)</f>
        <v>1</v>
      </c>
      <c r="N747" t="str">
        <f t="shared" si="11"/>
        <v>R/X</v>
      </c>
    </row>
    <row r="748" spans="1:14" ht="15" customHeight="1" x14ac:dyDescent="0.35">
      <c r="A748">
        <v>66</v>
      </c>
      <c r="B748">
        <v>240</v>
      </c>
      <c r="C748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Master'!$F:$F,B748),"")</f>
        <v>399</v>
      </c>
      <c r="D748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Master'!$F:$F,B748),"")</f>
        <v>0.16200000000000001</v>
      </c>
      <c r="E748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Master'!$F:$F,B748),"")</f>
        <v>0.16200000000000001</v>
      </c>
      <c r="F748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Master'!$F:$F,B748),"")</f>
        <v>7.1999999999999995E-2</v>
      </c>
      <c r="G748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Master'!$F:$F,B748),"")</f>
        <v>143</v>
      </c>
      <c r="H748">
        <f>IF(AND(ISNUMBER(C748),C748&gt;='Bulk Calculator'!U66/('Bulk Calculator'!J66*'Bulk Calculator'!L66)),1,0)</f>
        <v>1</v>
      </c>
      <c r="I748">
        <f>IFERROR(IF(AND(ISNUMBER(E748),ISNUMBER(F748),E748&gt;0,F748&gt;0),SQRT(3)*'Bulk Calculator'!O66*'Bulk Calculator'!AA66*((E748*'Bulk Calculator'!Q66)+(F748*SQRT(1-'Bulk Calculator'!Q66^2)))/'Bulk Calculator'!J66/'Bulk Calculator'!K66*100,D748*'Bulk Calculator'!AA66*'Bulk Calculator'!O66/'Bulk Calculator'!J66/'Bulk Calculator'!K66*100),"")</f>
        <v>0</v>
      </c>
      <c r="J748">
        <f>IFERROR(IF(AND(ISNUMBER(E748),ISNUMBER(F748),E748&gt;0,F748&gt;0),SQRT(3)*'Bulk Calculator'!O66*'Bulk Calculator'!U66*((E748*'Bulk Calculator'!M66)+(F748*SQRT(1-'Bulk Calculator'!M66^2)))/'Bulk Calculator'!J66/'Bulk Calculator'!K66*100,D748*'Bulk Calculator'!U66*'Bulk Calculator'!O66/'Bulk Calculator'!J66/'Bulk Calculator'!K66*100),"")</f>
        <v>0</v>
      </c>
      <c r="K748">
        <f>IFERROR(G748*B748*'Bulk Calculator'!J66/SQRT('Bulk Calculator'!S66)/1000,"")</f>
        <v>76.741852987792782</v>
      </c>
      <c r="L748">
        <f>IF(OR('Bulk Calculator'!R66="",'Bulk Calculator'!S66="",G748=""),0,IF(K748&gt;='Bulk Calculator'!R66,1,0))</f>
        <v>1</v>
      </c>
      <c r="M748">
        <f>IF(AND(H748=1,I748&lt;='OS-DORAEN'!$B$6,J748&lt;='OS-DORAEN'!$B$5,L748=1),1,0)</f>
        <v>1</v>
      </c>
      <c r="N748" t="str">
        <f t="shared" si="11"/>
        <v>R/X</v>
      </c>
    </row>
    <row r="749" spans="1:14" ht="15" customHeight="1" x14ac:dyDescent="0.35">
      <c r="A749">
        <v>66</v>
      </c>
      <c r="B749">
        <v>185</v>
      </c>
      <c r="C749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Master'!$F:$F,B749),"")</f>
        <v>337</v>
      </c>
      <c r="D749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Master'!$F:$F,B749),"")</f>
        <v>0.21099999999999999</v>
      </c>
      <c r="E749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Master'!$F:$F,B749),"")</f>
        <v>0.21099999999999999</v>
      </c>
      <c r="F749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Master'!$F:$F,B749),"")</f>
        <v>7.1999999999999995E-2</v>
      </c>
      <c r="G749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Master'!$F:$F,B749),"")</f>
        <v>143</v>
      </c>
      <c r="H749">
        <f>IF(AND(ISNUMBER(C749),C749&gt;='Bulk Calculator'!U66/('Bulk Calculator'!J66*'Bulk Calculator'!L66)),1,0)</f>
        <v>1</v>
      </c>
      <c r="I749">
        <f>IFERROR(IF(AND(ISNUMBER(E749),ISNUMBER(F749),E749&gt;0,F749&gt;0),SQRT(3)*'Bulk Calculator'!O66*'Bulk Calculator'!AA66*((E749*'Bulk Calculator'!Q66)+(F749*SQRT(1-'Bulk Calculator'!Q66^2)))/'Bulk Calculator'!J66/'Bulk Calculator'!K66*100,D749*'Bulk Calculator'!AA66*'Bulk Calculator'!O66/'Bulk Calculator'!J66/'Bulk Calculator'!K66*100),"")</f>
        <v>0</v>
      </c>
      <c r="J749">
        <f>IFERROR(IF(AND(ISNUMBER(E749),ISNUMBER(F749),E749&gt;0,F749&gt;0),SQRT(3)*'Bulk Calculator'!O66*'Bulk Calculator'!U66*((E749*'Bulk Calculator'!M66)+(F749*SQRT(1-'Bulk Calculator'!M66^2)))/'Bulk Calculator'!J66/'Bulk Calculator'!K66*100,D749*'Bulk Calculator'!U66*'Bulk Calculator'!O66/'Bulk Calculator'!J66/'Bulk Calculator'!K66*100),"")</f>
        <v>0</v>
      </c>
      <c r="K749">
        <f>IFERROR(G749*B749*'Bulk Calculator'!J66/SQRT('Bulk Calculator'!S66)/1000,"")</f>
        <v>59.155178344756941</v>
      </c>
      <c r="L749">
        <f>IF(OR('Bulk Calculator'!R66="",'Bulk Calculator'!S66="",G749=""),0,IF(K749&gt;='Bulk Calculator'!R66,1,0))</f>
        <v>1</v>
      </c>
      <c r="M749">
        <f>IF(AND(H749=1,I749&lt;='OS-DORAEN'!$B$6,J749&lt;='OS-DORAEN'!$B$5,L749=1),1,0)</f>
        <v>1</v>
      </c>
      <c r="N749" t="str">
        <f t="shared" si="11"/>
        <v>R/X</v>
      </c>
    </row>
    <row r="750" spans="1:14" ht="15" customHeight="1" x14ac:dyDescent="0.35">
      <c r="A750">
        <v>66</v>
      </c>
      <c r="B750">
        <v>150</v>
      </c>
      <c r="C750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Master'!$F:$F,B750),"")</f>
        <v>292</v>
      </c>
      <c r="D750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Master'!$F:$F,B750),"")</f>
        <v>0.26500000000000001</v>
      </c>
      <c r="E750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Master'!$F:$F,B750),"")</f>
        <v>0.26500000000000001</v>
      </c>
      <c r="F750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Master'!$F:$F,B750),"")</f>
        <v>7.1999999999999995E-2</v>
      </c>
      <c r="G750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Master'!$F:$F,B750),"")</f>
        <v>143</v>
      </c>
      <c r="H750">
        <f>IF(AND(ISNUMBER(C750),C750&gt;='Bulk Calculator'!U66/('Bulk Calculator'!J66*'Bulk Calculator'!L66)),1,0)</f>
        <v>1</v>
      </c>
      <c r="I750">
        <f>IFERROR(IF(AND(ISNUMBER(E750),ISNUMBER(F750),E750&gt;0,F750&gt;0),SQRT(3)*'Bulk Calculator'!O66*'Bulk Calculator'!AA66*((E750*'Bulk Calculator'!Q66)+(F750*SQRT(1-'Bulk Calculator'!Q66^2)))/'Bulk Calculator'!J66/'Bulk Calculator'!K66*100,D750*'Bulk Calculator'!AA66*'Bulk Calculator'!O66/'Bulk Calculator'!J66/'Bulk Calculator'!K66*100),"")</f>
        <v>0</v>
      </c>
      <c r="J750">
        <f>IFERROR(IF(AND(ISNUMBER(E750),ISNUMBER(F750),E750&gt;0,F750&gt;0),SQRT(3)*'Bulk Calculator'!O66*'Bulk Calculator'!U66*((E750*'Bulk Calculator'!M66)+(F750*SQRT(1-'Bulk Calculator'!M66^2)))/'Bulk Calculator'!J66/'Bulk Calculator'!K66*100,D750*'Bulk Calculator'!U66*'Bulk Calculator'!O66/'Bulk Calculator'!J66/'Bulk Calculator'!K66*100),"")</f>
        <v>0</v>
      </c>
      <c r="K750">
        <f>IFERROR(G750*B750*'Bulk Calculator'!J66/SQRT('Bulk Calculator'!S66)/1000,"")</f>
        <v>47.963658117370493</v>
      </c>
      <c r="L750">
        <f>IF(OR('Bulk Calculator'!R66="",'Bulk Calculator'!S66="",G750=""),0,IF(K750&gt;='Bulk Calculator'!R66,1,0))</f>
        <v>1</v>
      </c>
      <c r="M750">
        <f>IF(AND(H750=1,I750&lt;='OS-DORAEN'!$B$6,J750&lt;='OS-DORAEN'!$B$5,L750=1),1,0)</f>
        <v>1</v>
      </c>
      <c r="N750" t="str">
        <f t="shared" si="11"/>
        <v>R/X</v>
      </c>
    </row>
    <row r="751" spans="1:14" ht="15" customHeight="1" x14ac:dyDescent="0.35">
      <c r="A751">
        <v>66</v>
      </c>
      <c r="B751">
        <v>120</v>
      </c>
      <c r="C751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Master'!$F:$F,B751),"")</f>
        <v>257</v>
      </c>
      <c r="D751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Master'!$F:$F,B751),"")</f>
        <v>0.32500000000000001</v>
      </c>
      <c r="E751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Master'!$F:$F,B751),"")</f>
        <v>0.32500000000000001</v>
      </c>
      <c r="F751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Master'!$F:$F,B751),"")</f>
        <v>7.1999999999999995E-2</v>
      </c>
      <c r="G751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Master'!$F:$F,B751),"")</f>
        <v>143</v>
      </c>
      <c r="H751">
        <f>IF(AND(ISNUMBER(C751),C751&gt;='Bulk Calculator'!U66/('Bulk Calculator'!J66*'Bulk Calculator'!L66)),1,0)</f>
        <v>1</v>
      </c>
      <c r="I751">
        <f>IFERROR(IF(AND(ISNUMBER(E751),ISNUMBER(F751),E751&gt;0,F751&gt;0),SQRT(3)*'Bulk Calculator'!O66*'Bulk Calculator'!AA66*((E751*'Bulk Calculator'!Q66)+(F751*SQRT(1-'Bulk Calculator'!Q66^2)))/'Bulk Calculator'!J66/'Bulk Calculator'!K66*100,D751*'Bulk Calculator'!AA66*'Bulk Calculator'!O66/'Bulk Calculator'!J66/'Bulk Calculator'!K66*100),"")</f>
        <v>0</v>
      </c>
      <c r="J751">
        <f>IFERROR(IF(AND(ISNUMBER(E751),ISNUMBER(F751),E751&gt;0,F751&gt;0),SQRT(3)*'Bulk Calculator'!O66*'Bulk Calculator'!U66*((E751*'Bulk Calculator'!M66)+(F751*SQRT(1-'Bulk Calculator'!M66^2)))/'Bulk Calculator'!J66/'Bulk Calculator'!K66*100,D751*'Bulk Calculator'!U66*'Bulk Calculator'!O66/'Bulk Calculator'!J66/'Bulk Calculator'!K66*100),"")</f>
        <v>0</v>
      </c>
      <c r="K751">
        <f>IFERROR(G751*B751*'Bulk Calculator'!J66/SQRT('Bulk Calculator'!S66)/1000,"")</f>
        <v>38.370926493896391</v>
      </c>
      <c r="L751">
        <f>IF(OR('Bulk Calculator'!R66="",'Bulk Calculator'!S66="",G751=""),0,IF(K751&gt;='Bulk Calculator'!R66,1,0))</f>
        <v>1</v>
      </c>
      <c r="M751">
        <f>IF(AND(H751=1,I751&lt;='OS-DORAEN'!$B$6,J751&lt;='OS-DORAEN'!$B$5,L751=1),1,0)</f>
        <v>1</v>
      </c>
      <c r="N751" t="str">
        <f t="shared" si="11"/>
        <v>R/X</v>
      </c>
    </row>
    <row r="752" spans="1:14" ht="15" customHeight="1" x14ac:dyDescent="0.35">
      <c r="A752">
        <v>66</v>
      </c>
      <c r="B752">
        <v>95</v>
      </c>
      <c r="C752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Master'!$F:$F,B752),"")</f>
        <v>221</v>
      </c>
      <c r="D752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Master'!$F:$F,B752),"")</f>
        <v>0.41</v>
      </c>
      <c r="E752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Master'!$F:$F,B752),"")</f>
        <v>0.41</v>
      </c>
      <c r="F752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Master'!$F:$F,B752),"")</f>
        <v>7.3999999999999996E-2</v>
      </c>
      <c r="G752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Master'!$F:$F,B752),"")</f>
        <v>143</v>
      </c>
      <c r="H752">
        <f>IF(AND(ISNUMBER(C752),C752&gt;='Bulk Calculator'!U66/('Bulk Calculator'!J66*'Bulk Calculator'!L66)),1,0)</f>
        <v>1</v>
      </c>
      <c r="I752">
        <f>IFERROR(IF(AND(ISNUMBER(E752),ISNUMBER(F752),E752&gt;0,F752&gt;0),SQRT(3)*'Bulk Calculator'!O66*'Bulk Calculator'!AA66*((E752*'Bulk Calculator'!Q66)+(F752*SQRT(1-'Bulk Calculator'!Q66^2)))/'Bulk Calculator'!J66/'Bulk Calculator'!K66*100,D752*'Bulk Calculator'!AA66*'Bulk Calculator'!O66/'Bulk Calculator'!J66/'Bulk Calculator'!K66*100),"")</f>
        <v>0</v>
      </c>
      <c r="J752">
        <f>IFERROR(IF(AND(ISNUMBER(E752),ISNUMBER(F752),E752&gt;0,F752&gt;0),SQRT(3)*'Bulk Calculator'!O66*'Bulk Calculator'!U66*((E752*'Bulk Calculator'!M66)+(F752*SQRT(1-'Bulk Calculator'!M66^2)))/'Bulk Calculator'!J66/'Bulk Calculator'!K66*100,D752*'Bulk Calculator'!U66*'Bulk Calculator'!O66/'Bulk Calculator'!J66/'Bulk Calculator'!K66*100),"")</f>
        <v>0</v>
      </c>
      <c r="K752">
        <f>IFERROR(G752*B752*'Bulk Calculator'!J66/SQRT('Bulk Calculator'!S66)/1000,"")</f>
        <v>30.376983474334644</v>
      </c>
      <c r="L752">
        <f>IF(OR('Bulk Calculator'!R66="",'Bulk Calculator'!S66="",G752=""),0,IF(K752&gt;='Bulk Calculator'!R66,1,0))</f>
        <v>1</v>
      </c>
      <c r="M752">
        <f>IF(AND(H752=1,I752&lt;='OS-DORAEN'!$B$6,J752&lt;='OS-DORAEN'!$B$5,L752=1),1,0)</f>
        <v>1</v>
      </c>
      <c r="N752" t="str">
        <f t="shared" si="11"/>
        <v>R/X</v>
      </c>
    </row>
    <row r="753" spans="1:14" ht="15" customHeight="1" x14ac:dyDescent="0.35">
      <c r="A753">
        <v>66</v>
      </c>
      <c r="B753">
        <v>70</v>
      </c>
      <c r="C753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Master'!$F:$F,B753),"")</f>
        <v>179</v>
      </c>
      <c r="D753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Master'!$F:$F,B753),"")</f>
        <v>0.56699999999999995</v>
      </c>
      <c r="E753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Master'!$F:$F,B753),"")</f>
        <v>0.56699999999999995</v>
      </c>
      <c r="F753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Master'!$F:$F,B753),"")</f>
        <v>7.6999999999999999E-2</v>
      </c>
      <c r="G753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Master'!$F:$F,B753),"")</f>
        <v>143</v>
      </c>
      <c r="H753">
        <f>IF(AND(ISNUMBER(C753),C753&gt;='Bulk Calculator'!U66/('Bulk Calculator'!J66*'Bulk Calculator'!L66)),1,0)</f>
        <v>1</v>
      </c>
      <c r="I753">
        <f>IFERROR(IF(AND(ISNUMBER(E753),ISNUMBER(F753),E753&gt;0,F753&gt;0),SQRT(3)*'Bulk Calculator'!O66*'Bulk Calculator'!AA66*((E753*'Bulk Calculator'!Q66)+(F753*SQRT(1-'Bulk Calculator'!Q66^2)))/'Bulk Calculator'!J66/'Bulk Calculator'!K66*100,D753*'Bulk Calculator'!AA66*'Bulk Calculator'!O66/'Bulk Calculator'!J66/'Bulk Calculator'!K66*100),"")</f>
        <v>0</v>
      </c>
      <c r="J753">
        <f>IFERROR(IF(AND(ISNUMBER(E753),ISNUMBER(F753),E753&gt;0,F753&gt;0),SQRT(3)*'Bulk Calculator'!O66*'Bulk Calculator'!U66*((E753*'Bulk Calculator'!M66)+(F753*SQRT(1-'Bulk Calculator'!M66^2)))/'Bulk Calculator'!J66/'Bulk Calculator'!K66*100,D753*'Bulk Calculator'!U66*'Bulk Calculator'!O66/'Bulk Calculator'!J66/'Bulk Calculator'!K66*100),"")</f>
        <v>0</v>
      </c>
      <c r="K753">
        <f>IFERROR(G753*B753*'Bulk Calculator'!J66/SQRT('Bulk Calculator'!S66)/1000,"")</f>
        <v>22.383040454772893</v>
      </c>
      <c r="L753">
        <f>IF(OR('Bulk Calculator'!R66="",'Bulk Calculator'!S66="",G753=""),0,IF(K753&gt;='Bulk Calculator'!R66,1,0))</f>
        <v>1</v>
      </c>
      <c r="M753">
        <f>IF(AND(H753=1,I753&lt;='OS-DORAEN'!$B$6,J753&lt;='OS-DORAEN'!$B$5,L753=1),1,0)</f>
        <v>1</v>
      </c>
      <c r="N753" t="str">
        <f t="shared" si="11"/>
        <v>R/X</v>
      </c>
    </row>
    <row r="754" spans="1:14" ht="15" customHeight="1" x14ac:dyDescent="0.35">
      <c r="A754">
        <v>66</v>
      </c>
      <c r="B754">
        <v>50</v>
      </c>
      <c r="C754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Master'!$F:$F,B754),"")</f>
        <v>142</v>
      </c>
      <c r="D754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Master'!$F:$F,B754),"")</f>
        <v>0.82</v>
      </c>
      <c r="E754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Master'!$F:$F,B754),"")</f>
        <v>0.82</v>
      </c>
      <c r="F754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Master'!$F:$F,B754),"")</f>
        <v>7.8E-2</v>
      </c>
      <c r="G754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Master'!$F:$F,B754),"")</f>
        <v>143</v>
      </c>
      <c r="H754">
        <f>IF(AND(ISNUMBER(C754),C754&gt;='Bulk Calculator'!U66/('Bulk Calculator'!J66*'Bulk Calculator'!L66)),1,0)</f>
        <v>1</v>
      </c>
      <c r="I754">
        <f>IFERROR(IF(AND(ISNUMBER(E754),ISNUMBER(F754),E754&gt;0,F754&gt;0),SQRT(3)*'Bulk Calculator'!O66*'Bulk Calculator'!AA66*((E754*'Bulk Calculator'!Q66)+(F754*SQRT(1-'Bulk Calculator'!Q66^2)))/'Bulk Calculator'!J66/'Bulk Calculator'!K66*100,D754*'Bulk Calculator'!AA66*'Bulk Calculator'!O66/'Bulk Calculator'!J66/'Bulk Calculator'!K66*100),"")</f>
        <v>0</v>
      </c>
      <c r="J754">
        <f>IFERROR(IF(AND(ISNUMBER(E754),ISNUMBER(F754),E754&gt;0,F754&gt;0),SQRT(3)*'Bulk Calculator'!O66*'Bulk Calculator'!U66*((E754*'Bulk Calculator'!M66)+(F754*SQRT(1-'Bulk Calculator'!M66^2)))/'Bulk Calculator'!J66/'Bulk Calculator'!K66*100,D754*'Bulk Calculator'!U66*'Bulk Calculator'!O66/'Bulk Calculator'!J66/'Bulk Calculator'!K66*100),"")</f>
        <v>0</v>
      </c>
      <c r="K754">
        <f>IFERROR(G754*B754*'Bulk Calculator'!J66/SQRT('Bulk Calculator'!S66)/1000,"")</f>
        <v>15.987886039123497</v>
      </c>
      <c r="L754">
        <f>IF(OR('Bulk Calculator'!R66="",'Bulk Calculator'!S66="",G754=""),0,IF(K754&gt;='Bulk Calculator'!R66,1,0))</f>
        <v>1</v>
      </c>
      <c r="M754">
        <f>IF(AND(H754=1,I754&lt;='OS-DORAEN'!$B$6,J754&lt;='OS-DORAEN'!$B$5,L754=1),1,0)</f>
        <v>1</v>
      </c>
      <c r="N754" t="str">
        <f t="shared" si="11"/>
        <v>R/X</v>
      </c>
    </row>
    <row r="755" spans="1:14" ht="15" customHeight="1" x14ac:dyDescent="0.35">
      <c r="A755">
        <v>66</v>
      </c>
      <c r="B755">
        <v>35</v>
      </c>
      <c r="C755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Master'!$F:$F,B755),"")</f>
        <v>117</v>
      </c>
      <c r="D755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Master'!$F:$F,B755),"")</f>
        <v>1.1100000000000001</v>
      </c>
      <c r="E755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Master'!$F:$F,B755),"")</f>
        <v>1.1100000000000001</v>
      </c>
      <c r="F755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Master'!$F:$F,B755),"")</f>
        <v>0.08</v>
      </c>
      <c r="G755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Master'!$F:$F,B755),"")</f>
        <v>143</v>
      </c>
      <c r="H755">
        <f>IF(AND(ISNUMBER(C755),C755&gt;='Bulk Calculator'!U66/('Bulk Calculator'!J66*'Bulk Calculator'!L66)),1,0)</f>
        <v>1</v>
      </c>
      <c r="I755">
        <f>IFERROR(IF(AND(ISNUMBER(E755),ISNUMBER(F755),E755&gt;0,F755&gt;0),SQRT(3)*'Bulk Calculator'!O66*'Bulk Calculator'!AA66*((E755*'Bulk Calculator'!Q66)+(F755*SQRT(1-'Bulk Calculator'!Q66^2)))/'Bulk Calculator'!J66/'Bulk Calculator'!K66*100,D755*'Bulk Calculator'!AA66*'Bulk Calculator'!O66/'Bulk Calculator'!J66/'Bulk Calculator'!K66*100),"")</f>
        <v>0</v>
      </c>
      <c r="J755">
        <f>IFERROR(IF(AND(ISNUMBER(E755),ISNUMBER(F755),E755&gt;0,F755&gt;0),SQRT(3)*'Bulk Calculator'!O66*'Bulk Calculator'!U66*((E755*'Bulk Calculator'!M66)+(F755*SQRT(1-'Bulk Calculator'!M66^2)))/'Bulk Calculator'!J66/'Bulk Calculator'!K66*100,D755*'Bulk Calculator'!U66*'Bulk Calculator'!O66/'Bulk Calculator'!J66/'Bulk Calculator'!K66*100),"")</f>
        <v>0</v>
      </c>
      <c r="K755">
        <f>IFERROR(G755*B755*'Bulk Calculator'!J66/SQRT('Bulk Calculator'!S66)/1000,"")</f>
        <v>11.191520227386446</v>
      </c>
      <c r="L755">
        <f>IF(OR('Bulk Calculator'!R66="",'Bulk Calculator'!S66="",G755=""),0,IF(K755&gt;='Bulk Calculator'!R66,1,0))</f>
        <v>1</v>
      </c>
      <c r="M755">
        <f>IF(AND(H755=1,I755&lt;='OS-DORAEN'!$B$6,J755&lt;='OS-DORAEN'!$B$5,L755=1),1,0)</f>
        <v>1</v>
      </c>
      <c r="N755" t="str">
        <f t="shared" si="11"/>
        <v>R/X</v>
      </c>
    </row>
    <row r="756" spans="1:14" ht="15" customHeight="1" x14ac:dyDescent="0.35">
      <c r="A756">
        <v>66</v>
      </c>
      <c r="B756">
        <v>25</v>
      </c>
      <c r="C756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Master'!$F:$F,B756),"")</f>
        <v>96</v>
      </c>
      <c r="D756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Master'!$F:$F,B756),"")</f>
        <v>1.54</v>
      </c>
      <c r="E756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Master'!$F:$F,B756),"")</f>
        <v>1.54</v>
      </c>
      <c r="F756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Master'!$F:$F,B756),"")</f>
        <v>0.08</v>
      </c>
      <c r="G756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Master'!$F:$F,B756),"")</f>
        <v>143</v>
      </c>
      <c r="H756">
        <f>IF(AND(ISNUMBER(C756),C756&gt;='Bulk Calculator'!U66/('Bulk Calculator'!J66*'Bulk Calculator'!L66)),1,0)</f>
        <v>1</v>
      </c>
      <c r="I756">
        <f>IFERROR(IF(AND(ISNUMBER(E756),ISNUMBER(F756),E756&gt;0,F756&gt;0),SQRT(3)*'Bulk Calculator'!O66*'Bulk Calculator'!AA66*((E756*'Bulk Calculator'!Q66)+(F756*SQRT(1-'Bulk Calculator'!Q66^2)))/'Bulk Calculator'!J66/'Bulk Calculator'!K66*100,D756*'Bulk Calculator'!AA66*'Bulk Calculator'!O66/'Bulk Calculator'!J66/'Bulk Calculator'!K66*100),"")</f>
        <v>0</v>
      </c>
      <c r="J756">
        <f>IFERROR(IF(AND(ISNUMBER(E756),ISNUMBER(F756),E756&gt;0,F756&gt;0),SQRT(3)*'Bulk Calculator'!O66*'Bulk Calculator'!U66*((E756*'Bulk Calculator'!M66)+(F756*SQRT(1-'Bulk Calculator'!M66^2)))/'Bulk Calculator'!J66/'Bulk Calculator'!K66*100,D756*'Bulk Calculator'!U66*'Bulk Calculator'!O66/'Bulk Calculator'!J66/'Bulk Calculator'!K66*100),"")</f>
        <v>0</v>
      </c>
      <c r="K756">
        <f>IFERROR(G756*B756*'Bulk Calculator'!J66/SQRT('Bulk Calculator'!S66)/1000,"")</f>
        <v>7.9939430195617485</v>
      </c>
      <c r="L756">
        <f>IF(OR('Bulk Calculator'!R66="",'Bulk Calculator'!S66="",G756=""),0,IF(K756&gt;='Bulk Calculator'!R66,1,0))</f>
        <v>1</v>
      </c>
      <c r="M756">
        <f>IF(AND(H756=1,I756&lt;='OS-DORAEN'!$B$6,J756&lt;='OS-DORAEN'!$B$5,L756=1),1,0)</f>
        <v>1</v>
      </c>
      <c r="N756" t="str">
        <f t="shared" si="11"/>
        <v>R/X</v>
      </c>
    </row>
    <row r="757" spans="1:14" ht="15" customHeight="1" x14ac:dyDescent="0.35">
      <c r="A757">
        <v>66</v>
      </c>
      <c r="B757">
        <v>16</v>
      </c>
      <c r="C757">
        <f>IFERROR(SUMIFS('Cable Data Master'!$G:$G,'Cable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Master'!$F:$F,B757),"")</f>
        <v>0</v>
      </c>
      <c r="D757">
        <f>IFERROR(SUMIFS('Cable Data Master'!$K:$K,'Cable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Master'!$F:$F,B757),"")</f>
        <v>0</v>
      </c>
      <c r="E757">
        <f>IFERROR(SUMIFS('Cable Data Master'!$H:$H,'Cable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Master'!$F:$F,B757),"")</f>
        <v>0</v>
      </c>
      <c r="F757">
        <f>IFERROR(SUMIFS('Cable Data Master'!$I:$I,'Cable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Master'!$F:$F,B757),"")</f>
        <v>0</v>
      </c>
      <c r="G757">
        <f>IFERROR(SUMIFS('Cable Data Master'!$J:$J,'Cable Data Master'!$A:$A,'Bulk Calculator'!$BF66,'Cable Data Master'!$B:$B,'Bulk Calculator'!$BG66,'Cable Data Master'!$C:$C,'Bulk Calculator'!$BH66,'Cable Data Master'!$D:$D,'Bulk Calculator'!$BI66,'Cable Data Master'!$E:$E,'Bulk Calculator'!$BJ66,'Cable Data Master'!$F:$F,B757),"")</f>
        <v>0</v>
      </c>
      <c r="H757">
        <f>IF(AND(ISNUMBER(C757),C757&gt;='Bulk Calculator'!U66/('Bulk Calculator'!J66*'Bulk Calculator'!L66)),1,0)</f>
        <v>1</v>
      </c>
      <c r="I757">
        <f>IFERROR(IF(AND(ISNUMBER(E757),ISNUMBER(F757),E757&gt;0,F757&gt;0),SQRT(3)*'Bulk Calculator'!O66*'Bulk Calculator'!AA66*((E757*'Bulk Calculator'!Q66)+(F757*SQRT(1-'Bulk Calculator'!Q66^2)))/'Bulk Calculator'!J66/'Bulk Calculator'!K66*100,D757*'Bulk Calculator'!AA66*'Bulk Calculator'!O66/'Bulk Calculator'!J66/'Bulk Calculator'!K66*100),"")</f>
        <v>0</v>
      </c>
      <c r="J757">
        <f>IFERROR(IF(AND(ISNUMBER(E757),ISNUMBER(F757),E757&gt;0,F757&gt;0),SQRT(3)*'Bulk Calculator'!O66*'Bulk Calculator'!U66*((E757*'Bulk Calculator'!M66)+(F757*SQRT(1-'Bulk Calculator'!M66^2)))/'Bulk Calculator'!J66/'Bulk Calculator'!K66*100,D757*'Bulk Calculator'!U66*'Bulk Calculator'!O66/'Bulk Calculator'!J66/'Bulk Calculator'!K66*100),"")</f>
        <v>0</v>
      </c>
      <c r="K757">
        <f>IFERROR(G757*B757*'Bulk Calculator'!J66/SQRT('Bulk Calculator'!S66)/1000,"")</f>
        <v>0</v>
      </c>
      <c r="L757">
        <f>IF(OR('Bulk Calculator'!R66="",'Bulk Calculator'!S66="",G757=""),0,IF(K757&gt;='Bulk Calculator'!R66,1,0))</f>
        <v>1</v>
      </c>
      <c r="M757">
        <f>IF(AND(H757=1,I757&lt;='OS-DORAEN'!$B$6,J757&lt;='OS-DORAEN'!$B$5,L757=1),1,0)</f>
        <v>1</v>
      </c>
      <c r="N757" t="str">
        <f t="shared" si="11"/>
        <v>Manufacturer VD Ref</v>
      </c>
    </row>
    <row r="758" spans="1:14" ht="15" customHeight="1" x14ac:dyDescent="0.35">
      <c r="A758">
        <v>67</v>
      </c>
      <c r="B758">
        <v>400</v>
      </c>
      <c r="C758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Master'!$F:$F,B758),"")</f>
        <v>530</v>
      </c>
      <c r="D758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Master'!$F:$F,B758),"")</f>
        <v>0.1023</v>
      </c>
      <c r="E758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Master'!$F:$F,B758),"")</f>
        <v>0.1023</v>
      </c>
      <c r="F758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Master'!$F:$F,B758),"")</f>
        <v>7.0000000000000007E-2</v>
      </c>
      <c r="G758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Master'!$F:$F,B758),"")</f>
        <v>143</v>
      </c>
      <c r="H758">
        <f>IF(AND(ISNUMBER(C758),C758&gt;='Bulk Calculator'!U67/('Bulk Calculator'!J67*'Bulk Calculator'!L67)),1,0)</f>
        <v>1</v>
      </c>
      <c r="I758">
        <f>IFERROR(IF(AND(ISNUMBER(E758),ISNUMBER(F758),E758&gt;0,F758&gt;0),SQRT(3)*'Bulk Calculator'!O67*'Bulk Calculator'!AA67*((E758*'Bulk Calculator'!Q67)+(F758*SQRT(1-'Bulk Calculator'!Q67^2)))/'Bulk Calculator'!J67/'Bulk Calculator'!K67*100,D758*'Bulk Calculator'!AA67*'Bulk Calculator'!O67/'Bulk Calculator'!J67/'Bulk Calculator'!K67*100),"")</f>
        <v>0</v>
      </c>
      <c r="J758">
        <f>IFERROR(IF(AND(ISNUMBER(E758),ISNUMBER(F758),E758&gt;0,F758&gt;0),SQRT(3)*'Bulk Calculator'!O67*'Bulk Calculator'!U67*((E758*'Bulk Calculator'!M67)+(F758*SQRT(1-'Bulk Calculator'!M67^2)))/'Bulk Calculator'!J67/'Bulk Calculator'!K67*100,D758*'Bulk Calculator'!U67*'Bulk Calculator'!O67/'Bulk Calculator'!J67/'Bulk Calculator'!K67*100),"")</f>
        <v>0</v>
      </c>
      <c r="K758">
        <f>IFERROR(G758*B758*'Bulk Calculator'!J67/SQRT('Bulk Calculator'!S67)/1000,"")</f>
        <v>127.90308831298798</v>
      </c>
      <c r="L758">
        <f>IF(OR('Bulk Calculator'!R67="",'Bulk Calculator'!S67="",G758=""),0,IF(K758&gt;='Bulk Calculator'!R67,1,0))</f>
        <v>1</v>
      </c>
      <c r="M758">
        <f>IF(AND(H758=1,I758&lt;='OS-DORAEN'!$B$6,J758&lt;='OS-DORAEN'!$B$5,L758=1),1,0)</f>
        <v>1</v>
      </c>
      <c r="N758" t="str">
        <f t="shared" si="11"/>
        <v>R/X</v>
      </c>
    </row>
    <row r="759" spans="1:14" ht="15" customHeight="1" x14ac:dyDescent="0.35">
      <c r="A759">
        <v>67</v>
      </c>
      <c r="B759">
        <v>300</v>
      </c>
      <c r="C759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Master'!$F:$F,B759),"")</f>
        <v>455</v>
      </c>
      <c r="D759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Master'!$F:$F,B759),"")</f>
        <v>0.13</v>
      </c>
      <c r="E759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Master'!$F:$F,B759),"")</f>
        <v>0.13</v>
      </c>
      <c r="F759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Master'!$F:$F,B759),"")</f>
        <v>7.0999999999999994E-2</v>
      </c>
      <c r="G759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Master'!$F:$F,B759),"")</f>
        <v>143</v>
      </c>
      <c r="H759">
        <f>IF(AND(ISNUMBER(C759),C759&gt;='Bulk Calculator'!U67/('Bulk Calculator'!J67*'Bulk Calculator'!L67)),1,0)</f>
        <v>1</v>
      </c>
      <c r="I759">
        <f>IFERROR(IF(AND(ISNUMBER(E759),ISNUMBER(F759),E759&gt;0,F759&gt;0),SQRT(3)*'Bulk Calculator'!O67*'Bulk Calculator'!AA67*((E759*'Bulk Calculator'!Q67)+(F759*SQRT(1-'Bulk Calculator'!Q67^2)))/'Bulk Calculator'!J67/'Bulk Calculator'!K67*100,D759*'Bulk Calculator'!AA67*'Bulk Calculator'!O67/'Bulk Calculator'!J67/'Bulk Calculator'!K67*100),"")</f>
        <v>0</v>
      </c>
      <c r="J759">
        <f>IFERROR(IF(AND(ISNUMBER(E759),ISNUMBER(F759),E759&gt;0,F759&gt;0),SQRT(3)*'Bulk Calculator'!O67*'Bulk Calculator'!U67*((E759*'Bulk Calculator'!M67)+(F759*SQRT(1-'Bulk Calculator'!M67^2)))/'Bulk Calculator'!J67/'Bulk Calculator'!K67*100,D759*'Bulk Calculator'!U67*'Bulk Calculator'!O67/'Bulk Calculator'!J67/'Bulk Calculator'!K67*100),"")</f>
        <v>0</v>
      </c>
      <c r="K759">
        <f>IFERROR(G759*B759*'Bulk Calculator'!J67/SQRT('Bulk Calculator'!S67)/1000,"")</f>
        <v>95.927316234740985</v>
      </c>
      <c r="L759">
        <f>IF(OR('Bulk Calculator'!R67="",'Bulk Calculator'!S67="",G759=""),0,IF(K759&gt;='Bulk Calculator'!R67,1,0))</f>
        <v>1</v>
      </c>
      <c r="M759">
        <f>IF(AND(H759=1,I759&lt;='OS-DORAEN'!$B$6,J759&lt;='OS-DORAEN'!$B$5,L759=1),1,0)</f>
        <v>1</v>
      </c>
      <c r="N759" t="str">
        <f t="shared" si="11"/>
        <v>R/X</v>
      </c>
    </row>
    <row r="760" spans="1:14" ht="15" customHeight="1" x14ac:dyDescent="0.35">
      <c r="A760">
        <v>67</v>
      </c>
      <c r="B760">
        <v>240</v>
      </c>
      <c r="C760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Master'!$F:$F,B760),"")</f>
        <v>399</v>
      </c>
      <c r="D760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Master'!$F:$F,B760),"")</f>
        <v>0.16200000000000001</v>
      </c>
      <c r="E760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Master'!$F:$F,B760),"")</f>
        <v>0.16200000000000001</v>
      </c>
      <c r="F760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Master'!$F:$F,B760),"")</f>
        <v>7.1999999999999995E-2</v>
      </c>
      <c r="G760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Master'!$F:$F,B760),"")</f>
        <v>143</v>
      </c>
      <c r="H760">
        <f>IF(AND(ISNUMBER(C760),C760&gt;='Bulk Calculator'!U67/('Bulk Calculator'!J67*'Bulk Calculator'!L67)),1,0)</f>
        <v>1</v>
      </c>
      <c r="I760">
        <f>IFERROR(IF(AND(ISNUMBER(E760),ISNUMBER(F760),E760&gt;0,F760&gt;0),SQRT(3)*'Bulk Calculator'!O67*'Bulk Calculator'!AA67*((E760*'Bulk Calculator'!Q67)+(F760*SQRT(1-'Bulk Calculator'!Q67^2)))/'Bulk Calculator'!J67/'Bulk Calculator'!K67*100,D760*'Bulk Calculator'!AA67*'Bulk Calculator'!O67/'Bulk Calculator'!J67/'Bulk Calculator'!K67*100),"")</f>
        <v>0</v>
      </c>
      <c r="J760">
        <f>IFERROR(IF(AND(ISNUMBER(E760),ISNUMBER(F760),E760&gt;0,F760&gt;0),SQRT(3)*'Bulk Calculator'!O67*'Bulk Calculator'!U67*((E760*'Bulk Calculator'!M67)+(F760*SQRT(1-'Bulk Calculator'!M67^2)))/'Bulk Calculator'!J67/'Bulk Calculator'!K67*100,D760*'Bulk Calculator'!U67*'Bulk Calculator'!O67/'Bulk Calculator'!J67/'Bulk Calculator'!K67*100),"")</f>
        <v>0</v>
      </c>
      <c r="K760">
        <f>IFERROR(G760*B760*'Bulk Calculator'!J67/SQRT('Bulk Calculator'!S67)/1000,"")</f>
        <v>76.741852987792782</v>
      </c>
      <c r="L760">
        <f>IF(OR('Bulk Calculator'!R67="",'Bulk Calculator'!S67="",G760=""),0,IF(K760&gt;='Bulk Calculator'!R67,1,0))</f>
        <v>1</v>
      </c>
      <c r="M760">
        <f>IF(AND(H760=1,I760&lt;='OS-DORAEN'!$B$6,J760&lt;='OS-DORAEN'!$B$5,L760=1),1,0)</f>
        <v>1</v>
      </c>
      <c r="N760" t="str">
        <f t="shared" si="11"/>
        <v>R/X</v>
      </c>
    </row>
    <row r="761" spans="1:14" ht="15" customHeight="1" x14ac:dyDescent="0.35">
      <c r="A761">
        <v>67</v>
      </c>
      <c r="B761">
        <v>185</v>
      </c>
      <c r="C761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Master'!$F:$F,B761),"")</f>
        <v>337</v>
      </c>
      <c r="D761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Master'!$F:$F,B761),"")</f>
        <v>0.21099999999999999</v>
      </c>
      <c r="E761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Master'!$F:$F,B761),"")</f>
        <v>0.21099999999999999</v>
      </c>
      <c r="F761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Master'!$F:$F,B761),"")</f>
        <v>7.1999999999999995E-2</v>
      </c>
      <c r="G761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Master'!$F:$F,B761),"")</f>
        <v>143</v>
      </c>
      <c r="H761">
        <f>IF(AND(ISNUMBER(C761),C761&gt;='Bulk Calculator'!U67/('Bulk Calculator'!J67*'Bulk Calculator'!L67)),1,0)</f>
        <v>1</v>
      </c>
      <c r="I761">
        <f>IFERROR(IF(AND(ISNUMBER(E761),ISNUMBER(F761),E761&gt;0,F761&gt;0),SQRT(3)*'Bulk Calculator'!O67*'Bulk Calculator'!AA67*((E761*'Bulk Calculator'!Q67)+(F761*SQRT(1-'Bulk Calculator'!Q67^2)))/'Bulk Calculator'!J67/'Bulk Calculator'!K67*100,D761*'Bulk Calculator'!AA67*'Bulk Calculator'!O67/'Bulk Calculator'!J67/'Bulk Calculator'!K67*100),"")</f>
        <v>0</v>
      </c>
      <c r="J761">
        <f>IFERROR(IF(AND(ISNUMBER(E761),ISNUMBER(F761),E761&gt;0,F761&gt;0),SQRT(3)*'Bulk Calculator'!O67*'Bulk Calculator'!U67*((E761*'Bulk Calculator'!M67)+(F761*SQRT(1-'Bulk Calculator'!M67^2)))/'Bulk Calculator'!J67/'Bulk Calculator'!K67*100,D761*'Bulk Calculator'!U67*'Bulk Calculator'!O67/'Bulk Calculator'!J67/'Bulk Calculator'!K67*100),"")</f>
        <v>0</v>
      </c>
      <c r="K761">
        <f>IFERROR(G761*B761*'Bulk Calculator'!J67/SQRT('Bulk Calculator'!S67)/1000,"")</f>
        <v>59.155178344756941</v>
      </c>
      <c r="L761">
        <f>IF(OR('Bulk Calculator'!R67="",'Bulk Calculator'!S67="",G761=""),0,IF(K761&gt;='Bulk Calculator'!R67,1,0))</f>
        <v>1</v>
      </c>
      <c r="M761">
        <f>IF(AND(H761=1,I761&lt;='OS-DORAEN'!$B$6,J761&lt;='OS-DORAEN'!$B$5,L761=1),1,0)</f>
        <v>1</v>
      </c>
      <c r="N761" t="str">
        <f t="shared" si="11"/>
        <v>R/X</v>
      </c>
    </row>
    <row r="762" spans="1:14" ht="15" customHeight="1" x14ac:dyDescent="0.35">
      <c r="A762">
        <v>67</v>
      </c>
      <c r="B762">
        <v>150</v>
      </c>
      <c r="C762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Master'!$F:$F,B762),"")</f>
        <v>292</v>
      </c>
      <c r="D762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Master'!$F:$F,B762),"")</f>
        <v>0.26500000000000001</v>
      </c>
      <c r="E762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Master'!$F:$F,B762),"")</f>
        <v>0.26500000000000001</v>
      </c>
      <c r="F762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Master'!$F:$F,B762),"")</f>
        <v>7.1999999999999995E-2</v>
      </c>
      <c r="G762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Master'!$F:$F,B762),"")</f>
        <v>143</v>
      </c>
      <c r="H762">
        <f>IF(AND(ISNUMBER(C762),C762&gt;='Bulk Calculator'!U67/('Bulk Calculator'!J67*'Bulk Calculator'!L67)),1,0)</f>
        <v>1</v>
      </c>
      <c r="I762">
        <f>IFERROR(IF(AND(ISNUMBER(E762),ISNUMBER(F762),E762&gt;0,F762&gt;0),SQRT(3)*'Bulk Calculator'!O67*'Bulk Calculator'!AA67*((E762*'Bulk Calculator'!Q67)+(F762*SQRT(1-'Bulk Calculator'!Q67^2)))/'Bulk Calculator'!J67/'Bulk Calculator'!K67*100,D762*'Bulk Calculator'!AA67*'Bulk Calculator'!O67/'Bulk Calculator'!J67/'Bulk Calculator'!K67*100),"")</f>
        <v>0</v>
      </c>
      <c r="J762">
        <f>IFERROR(IF(AND(ISNUMBER(E762),ISNUMBER(F762),E762&gt;0,F762&gt;0),SQRT(3)*'Bulk Calculator'!O67*'Bulk Calculator'!U67*((E762*'Bulk Calculator'!M67)+(F762*SQRT(1-'Bulk Calculator'!M67^2)))/'Bulk Calculator'!J67/'Bulk Calculator'!K67*100,D762*'Bulk Calculator'!U67*'Bulk Calculator'!O67/'Bulk Calculator'!J67/'Bulk Calculator'!K67*100),"")</f>
        <v>0</v>
      </c>
      <c r="K762">
        <f>IFERROR(G762*B762*'Bulk Calculator'!J67/SQRT('Bulk Calculator'!S67)/1000,"")</f>
        <v>47.963658117370493</v>
      </c>
      <c r="L762">
        <f>IF(OR('Bulk Calculator'!R67="",'Bulk Calculator'!S67="",G762=""),0,IF(K762&gt;='Bulk Calculator'!R67,1,0))</f>
        <v>1</v>
      </c>
      <c r="M762">
        <f>IF(AND(H762=1,I762&lt;='OS-DORAEN'!$B$6,J762&lt;='OS-DORAEN'!$B$5,L762=1),1,0)</f>
        <v>1</v>
      </c>
      <c r="N762" t="str">
        <f t="shared" si="11"/>
        <v>R/X</v>
      </c>
    </row>
    <row r="763" spans="1:14" ht="15" customHeight="1" x14ac:dyDescent="0.35">
      <c r="A763">
        <v>67</v>
      </c>
      <c r="B763">
        <v>120</v>
      </c>
      <c r="C763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Master'!$F:$F,B763),"")</f>
        <v>257</v>
      </c>
      <c r="D763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Master'!$F:$F,B763),"")</f>
        <v>0.32500000000000001</v>
      </c>
      <c r="E763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Master'!$F:$F,B763),"")</f>
        <v>0.32500000000000001</v>
      </c>
      <c r="F763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Master'!$F:$F,B763),"")</f>
        <v>7.1999999999999995E-2</v>
      </c>
      <c r="G763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Master'!$F:$F,B763),"")</f>
        <v>143</v>
      </c>
      <c r="H763">
        <f>IF(AND(ISNUMBER(C763),C763&gt;='Bulk Calculator'!U67/('Bulk Calculator'!J67*'Bulk Calculator'!L67)),1,0)</f>
        <v>1</v>
      </c>
      <c r="I763">
        <f>IFERROR(IF(AND(ISNUMBER(E763),ISNUMBER(F763),E763&gt;0,F763&gt;0),SQRT(3)*'Bulk Calculator'!O67*'Bulk Calculator'!AA67*((E763*'Bulk Calculator'!Q67)+(F763*SQRT(1-'Bulk Calculator'!Q67^2)))/'Bulk Calculator'!J67/'Bulk Calculator'!K67*100,D763*'Bulk Calculator'!AA67*'Bulk Calculator'!O67/'Bulk Calculator'!J67/'Bulk Calculator'!K67*100),"")</f>
        <v>0</v>
      </c>
      <c r="J763">
        <f>IFERROR(IF(AND(ISNUMBER(E763),ISNUMBER(F763),E763&gt;0,F763&gt;0),SQRT(3)*'Bulk Calculator'!O67*'Bulk Calculator'!U67*((E763*'Bulk Calculator'!M67)+(F763*SQRT(1-'Bulk Calculator'!M67^2)))/'Bulk Calculator'!J67/'Bulk Calculator'!K67*100,D763*'Bulk Calculator'!U67*'Bulk Calculator'!O67/'Bulk Calculator'!J67/'Bulk Calculator'!K67*100),"")</f>
        <v>0</v>
      </c>
      <c r="K763">
        <f>IFERROR(G763*B763*'Bulk Calculator'!J67/SQRT('Bulk Calculator'!S67)/1000,"")</f>
        <v>38.370926493896391</v>
      </c>
      <c r="L763">
        <f>IF(OR('Bulk Calculator'!R67="",'Bulk Calculator'!S67="",G763=""),0,IF(K763&gt;='Bulk Calculator'!R67,1,0))</f>
        <v>1</v>
      </c>
      <c r="M763">
        <f>IF(AND(H763=1,I763&lt;='OS-DORAEN'!$B$6,J763&lt;='OS-DORAEN'!$B$5,L763=1),1,0)</f>
        <v>1</v>
      </c>
      <c r="N763" t="str">
        <f t="shared" si="11"/>
        <v>R/X</v>
      </c>
    </row>
    <row r="764" spans="1:14" ht="15" customHeight="1" x14ac:dyDescent="0.35">
      <c r="A764">
        <v>67</v>
      </c>
      <c r="B764">
        <v>95</v>
      </c>
      <c r="C764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Master'!$F:$F,B764),"")</f>
        <v>221</v>
      </c>
      <c r="D764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Master'!$F:$F,B764),"")</f>
        <v>0.41</v>
      </c>
      <c r="E764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Master'!$F:$F,B764),"")</f>
        <v>0.41</v>
      </c>
      <c r="F764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Master'!$F:$F,B764),"")</f>
        <v>7.3999999999999996E-2</v>
      </c>
      <c r="G764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Master'!$F:$F,B764),"")</f>
        <v>143</v>
      </c>
      <c r="H764">
        <f>IF(AND(ISNUMBER(C764),C764&gt;='Bulk Calculator'!U67/('Bulk Calculator'!J67*'Bulk Calculator'!L67)),1,0)</f>
        <v>1</v>
      </c>
      <c r="I764">
        <f>IFERROR(IF(AND(ISNUMBER(E764),ISNUMBER(F764),E764&gt;0,F764&gt;0),SQRT(3)*'Bulk Calculator'!O67*'Bulk Calculator'!AA67*((E764*'Bulk Calculator'!Q67)+(F764*SQRT(1-'Bulk Calculator'!Q67^2)))/'Bulk Calculator'!J67/'Bulk Calculator'!K67*100,D764*'Bulk Calculator'!AA67*'Bulk Calculator'!O67/'Bulk Calculator'!J67/'Bulk Calculator'!K67*100),"")</f>
        <v>0</v>
      </c>
      <c r="J764">
        <f>IFERROR(IF(AND(ISNUMBER(E764),ISNUMBER(F764),E764&gt;0,F764&gt;0),SQRT(3)*'Bulk Calculator'!O67*'Bulk Calculator'!U67*((E764*'Bulk Calculator'!M67)+(F764*SQRT(1-'Bulk Calculator'!M67^2)))/'Bulk Calculator'!J67/'Bulk Calculator'!K67*100,D764*'Bulk Calculator'!U67*'Bulk Calculator'!O67/'Bulk Calculator'!J67/'Bulk Calculator'!K67*100),"")</f>
        <v>0</v>
      </c>
      <c r="K764">
        <f>IFERROR(G764*B764*'Bulk Calculator'!J67/SQRT('Bulk Calculator'!S67)/1000,"")</f>
        <v>30.376983474334644</v>
      </c>
      <c r="L764">
        <f>IF(OR('Bulk Calculator'!R67="",'Bulk Calculator'!S67="",G764=""),0,IF(K764&gt;='Bulk Calculator'!R67,1,0))</f>
        <v>1</v>
      </c>
      <c r="M764">
        <f>IF(AND(H764=1,I764&lt;='OS-DORAEN'!$B$6,J764&lt;='OS-DORAEN'!$B$5,L764=1),1,0)</f>
        <v>1</v>
      </c>
      <c r="N764" t="str">
        <f t="shared" si="11"/>
        <v>R/X</v>
      </c>
    </row>
    <row r="765" spans="1:14" ht="15" customHeight="1" x14ac:dyDescent="0.35">
      <c r="A765">
        <v>67</v>
      </c>
      <c r="B765">
        <v>70</v>
      </c>
      <c r="C765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Master'!$F:$F,B765),"")</f>
        <v>179</v>
      </c>
      <c r="D765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Master'!$F:$F,B765),"")</f>
        <v>0.56699999999999995</v>
      </c>
      <c r="E765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Master'!$F:$F,B765),"")</f>
        <v>0.56699999999999995</v>
      </c>
      <c r="F765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Master'!$F:$F,B765),"")</f>
        <v>7.6999999999999999E-2</v>
      </c>
      <c r="G765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Master'!$F:$F,B765),"")</f>
        <v>143</v>
      </c>
      <c r="H765">
        <f>IF(AND(ISNUMBER(C765),C765&gt;='Bulk Calculator'!U67/('Bulk Calculator'!J67*'Bulk Calculator'!L67)),1,0)</f>
        <v>1</v>
      </c>
      <c r="I765">
        <f>IFERROR(IF(AND(ISNUMBER(E765),ISNUMBER(F765),E765&gt;0,F765&gt;0),SQRT(3)*'Bulk Calculator'!O67*'Bulk Calculator'!AA67*((E765*'Bulk Calculator'!Q67)+(F765*SQRT(1-'Bulk Calculator'!Q67^2)))/'Bulk Calculator'!J67/'Bulk Calculator'!K67*100,D765*'Bulk Calculator'!AA67*'Bulk Calculator'!O67/'Bulk Calculator'!J67/'Bulk Calculator'!K67*100),"")</f>
        <v>0</v>
      </c>
      <c r="J765">
        <f>IFERROR(IF(AND(ISNUMBER(E765),ISNUMBER(F765),E765&gt;0,F765&gt;0),SQRT(3)*'Bulk Calculator'!O67*'Bulk Calculator'!U67*((E765*'Bulk Calculator'!M67)+(F765*SQRT(1-'Bulk Calculator'!M67^2)))/'Bulk Calculator'!J67/'Bulk Calculator'!K67*100,D765*'Bulk Calculator'!U67*'Bulk Calculator'!O67/'Bulk Calculator'!J67/'Bulk Calculator'!K67*100),"")</f>
        <v>0</v>
      </c>
      <c r="K765">
        <f>IFERROR(G765*B765*'Bulk Calculator'!J67/SQRT('Bulk Calculator'!S67)/1000,"")</f>
        <v>22.383040454772893</v>
      </c>
      <c r="L765">
        <f>IF(OR('Bulk Calculator'!R67="",'Bulk Calculator'!S67="",G765=""),0,IF(K765&gt;='Bulk Calculator'!R67,1,0))</f>
        <v>1</v>
      </c>
      <c r="M765">
        <f>IF(AND(H765=1,I765&lt;='OS-DORAEN'!$B$6,J765&lt;='OS-DORAEN'!$B$5,L765=1),1,0)</f>
        <v>1</v>
      </c>
      <c r="N765" t="str">
        <f t="shared" si="11"/>
        <v>R/X</v>
      </c>
    </row>
    <row r="766" spans="1:14" ht="15" customHeight="1" x14ac:dyDescent="0.35">
      <c r="A766">
        <v>67</v>
      </c>
      <c r="B766">
        <v>50</v>
      </c>
      <c r="C766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Master'!$F:$F,B766),"")</f>
        <v>142</v>
      </c>
      <c r="D766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Master'!$F:$F,B766),"")</f>
        <v>0.82</v>
      </c>
      <c r="E766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Master'!$F:$F,B766),"")</f>
        <v>0.82</v>
      </c>
      <c r="F766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Master'!$F:$F,B766),"")</f>
        <v>7.8E-2</v>
      </c>
      <c r="G766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Master'!$F:$F,B766),"")</f>
        <v>143</v>
      </c>
      <c r="H766">
        <f>IF(AND(ISNUMBER(C766),C766&gt;='Bulk Calculator'!U67/('Bulk Calculator'!J67*'Bulk Calculator'!L67)),1,0)</f>
        <v>1</v>
      </c>
      <c r="I766">
        <f>IFERROR(IF(AND(ISNUMBER(E766),ISNUMBER(F766),E766&gt;0,F766&gt;0),SQRT(3)*'Bulk Calculator'!O67*'Bulk Calculator'!AA67*((E766*'Bulk Calculator'!Q67)+(F766*SQRT(1-'Bulk Calculator'!Q67^2)))/'Bulk Calculator'!J67/'Bulk Calculator'!K67*100,D766*'Bulk Calculator'!AA67*'Bulk Calculator'!O67/'Bulk Calculator'!J67/'Bulk Calculator'!K67*100),"")</f>
        <v>0</v>
      </c>
      <c r="J766">
        <f>IFERROR(IF(AND(ISNUMBER(E766),ISNUMBER(F766),E766&gt;0,F766&gt;0),SQRT(3)*'Bulk Calculator'!O67*'Bulk Calculator'!U67*((E766*'Bulk Calculator'!M67)+(F766*SQRT(1-'Bulk Calculator'!M67^2)))/'Bulk Calculator'!J67/'Bulk Calculator'!K67*100,D766*'Bulk Calculator'!U67*'Bulk Calculator'!O67/'Bulk Calculator'!J67/'Bulk Calculator'!K67*100),"")</f>
        <v>0</v>
      </c>
      <c r="K766">
        <f>IFERROR(G766*B766*'Bulk Calculator'!J67/SQRT('Bulk Calculator'!S67)/1000,"")</f>
        <v>15.987886039123497</v>
      </c>
      <c r="L766">
        <f>IF(OR('Bulk Calculator'!R67="",'Bulk Calculator'!S67="",G766=""),0,IF(K766&gt;='Bulk Calculator'!R67,1,0))</f>
        <v>1</v>
      </c>
      <c r="M766">
        <f>IF(AND(H766=1,I766&lt;='OS-DORAEN'!$B$6,J766&lt;='OS-DORAEN'!$B$5,L766=1),1,0)</f>
        <v>1</v>
      </c>
      <c r="N766" t="str">
        <f t="shared" si="11"/>
        <v>R/X</v>
      </c>
    </row>
    <row r="767" spans="1:14" ht="15" customHeight="1" x14ac:dyDescent="0.35">
      <c r="A767">
        <v>67</v>
      </c>
      <c r="B767">
        <v>35</v>
      </c>
      <c r="C767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Master'!$F:$F,B767),"")</f>
        <v>117</v>
      </c>
      <c r="D767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Master'!$F:$F,B767),"")</f>
        <v>1.1100000000000001</v>
      </c>
      <c r="E767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Master'!$F:$F,B767),"")</f>
        <v>1.1100000000000001</v>
      </c>
      <c r="F767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Master'!$F:$F,B767),"")</f>
        <v>0.08</v>
      </c>
      <c r="G767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Master'!$F:$F,B767),"")</f>
        <v>143</v>
      </c>
      <c r="H767">
        <f>IF(AND(ISNUMBER(C767),C767&gt;='Bulk Calculator'!U67/('Bulk Calculator'!J67*'Bulk Calculator'!L67)),1,0)</f>
        <v>1</v>
      </c>
      <c r="I767">
        <f>IFERROR(IF(AND(ISNUMBER(E767),ISNUMBER(F767),E767&gt;0,F767&gt;0),SQRT(3)*'Bulk Calculator'!O67*'Bulk Calculator'!AA67*((E767*'Bulk Calculator'!Q67)+(F767*SQRT(1-'Bulk Calculator'!Q67^2)))/'Bulk Calculator'!J67/'Bulk Calculator'!K67*100,D767*'Bulk Calculator'!AA67*'Bulk Calculator'!O67/'Bulk Calculator'!J67/'Bulk Calculator'!K67*100),"")</f>
        <v>0</v>
      </c>
      <c r="J767">
        <f>IFERROR(IF(AND(ISNUMBER(E767),ISNUMBER(F767),E767&gt;0,F767&gt;0),SQRT(3)*'Bulk Calculator'!O67*'Bulk Calculator'!U67*((E767*'Bulk Calculator'!M67)+(F767*SQRT(1-'Bulk Calculator'!M67^2)))/'Bulk Calculator'!J67/'Bulk Calculator'!K67*100,D767*'Bulk Calculator'!U67*'Bulk Calculator'!O67/'Bulk Calculator'!J67/'Bulk Calculator'!K67*100),"")</f>
        <v>0</v>
      </c>
      <c r="K767">
        <f>IFERROR(G767*B767*'Bulk Calculator'!J67/SQRT('Bulk Calculator'!S67)/1000,"")</f>
        <v>11.191520227386446</v>
      </c>
      <c r="L767">
        <f>IF(OR('Bulk Calculator'!R67="",'Bulk Calculator'!S67="",G767=""),0,IF(K767&gt;='Bulk Calculator'!R67,1,0))</f>
        <v>1</v>
      </c>
      <c r="M767">
        <f>IF(AND(H767=1,I767&lt;='OS-DORAEN'!$B$6,J767&lt;='OS-DORAEN'!$B$5,L767=1),1,0)</f>
        <v>1</v>
      </c>
      <c r="N767" t="str">
        <f t="shared" si="11"/>
        <v>R/X</v>
      </c>
    </row>
    <row r="768" spans="1:14" ht="15" customHeight="1" x14ac:dyDescent="0.35">
      <c r="A768">
        <v>67</v>
      </c>
      <c r="B768">
        <v>25</v>
      </c>
      <c r="C768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Master'!$F:$F,B768),"")</f>
        <v>96</v>
      </c>
      <c r="D768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Master'!$F:$F,B768),"")</f>
        <v>1.54</v>
      </c>
      <c r="E768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Master'!$F:$F,B768),"")</f>
        <v>1.54</v>
      </c>
      <c r="F768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Master'!$F:$F,B768),"")</f>
        <v>0.08</v>
      </c>
      <c r="G768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Master'!$F:$F,B768),"")</f>
        <v>143</v>
      </c>
      <c r="H768">
        <f>IF(AND(ISNUMBER(C768),C768&gt;='Bulk Calculator'!U67/('Bulk Calculator'!J67*'Bulk Calculator'!L67)),1,0)</f>
        <v>1</v>
      </c>
      <c r="I768">
        <f>IFERROR(IF(AND(ISNUMBER(E768),ISNUMBER(F768),E768&gt;0,F768&gt;0),SQRT(3)*'Bulk Calculator'!O67*'Bulk Calculator'!AA67*((E768*'Bulk Calculator'!Q67)+(F768*SQRT(1-'Bulk Calculator'!Q67^2)))/'Bulk Calculator'!J67/'Bulk Calculator'!K67*100,D768*'Bulk Calculator'!AA67*'Bulk Calculator'!O67/'Bulk Calculator'!J67/'Bulk Calculator'!K67*100),"")</f>
        <v>0</v>
      </c>
      <c r="J768">
        <f>IFERROR(IF(AND(ISNUMBER(E768),ISNUMBER(F768),E768&gt;0,F768&gt;0),SQRT(3)*'Bulk Calculator'!O67*'Bulk Calculator'!U67*((E768*'Bulk Calculator'!M67)+(F768*SQRT(1-'Bulk Calculator'!M67^2)))/'Bulk Calculator'!J67/'Bulk Calculator'!K67*100,D768*'Bulk Calculator'!U67*'Bulk Calculator'!O67/'Bulk Calculator'!J67/'Bulk Calculator'!K67*100),"")</f>
        <v>0</v>
      </c>
      <c r="K768">
        <f>IFERROR(G768*B768*'Bulk Calculator'!J67/SQRT('Bulk Calculator'!S67)/1000,"")</f>
        <v>7.9939430195617485</v>
      </c>
      <c r="L768">
        <f>IF(OR('Bulk Calculator'!R67="",'Bulk Calculator'!S67="",G768=""),0,IF(K768&gt;='Bulk Calculator'!R67,1,0))</f>
        <v>1</v>
      </c>
      <c r="M768">
        <f>IF(AND(H768=1,I768&lt;='OS-DORAEN'!$B$6,J768&lt;='OS-DORAEN'!$B$5,L768=1),1,0)</f>
        <v>1</v>
      </c>
      <c r="N768" t="str">
        <f t="shared" si="11"/>
        <v>R/X</v>
      </c>
    </row>
    <row r="769" spans="1:14" ht="15" customHeight="1" x14ac:dyDescent="0.35">
      <c r="A769">
        <v>67</v>
      </c>
      <c r="B769">
        <v>16</v>
      </c>
      <c r="C769">
        <f>IFERROR(SUMIFS('Cable Data Master'!$G:$G,'Cable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Master'!$F:$F,B769),"")</f>
        <v>0</v>
      </c>
      <c r="D769">
        <f>IFERROR(SUMIFS('Cable Data Master'!$K:$K,'Cable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Master'!$F:$F,B769),"")</f>
        <v>0</v>
      </c>
      <c r="E769">
        <f>IFERROR(SUMIFS('Cable Data Master'!$H:$H,'Cable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Master'!$F:$F,B769),"")</f>
        <v>0</v>
      </c>
      <c r="F769">
        <f>IFERROR(SUMIFS('Cable Data Master'!$I:$I,'Cable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Master'!$F:$F,B769),"")</f>
        <v>0</v>
      </c>
      <c r="G769">
        <f>IFERROR(SUMIFS('Cable Data Master'!$J:$J,'Cable Data Master'!$A:$A,'Bulk Calculator'!$BF67,'Cable Data Master'!$B:$B,'Bulk Calculator'!$BG67,'Cable Data Master'!$C:$C,'Bulk Calculator'!$BH67,'Cable Data Master'!$D:$D,'Bulk Calculator'!$BI67,'Cable Data Master'!$E:$E,'Bulk Calculator'!$BJ67,'Cable Data Master'!$F:$F,B769),"")</f>
        <v>0</v>
      </c>
      <c r="H769">
        <f>IF(AND(ISNUMBER(C769),C769&gt;='Bulk Calculator'!U67/('Bulk Calculator'!J67*'Bulk Calculator'!L67)),1,0)</f>
        <v>1</v>
      </c>
      <c r="I769">
        <f>IFERROR(IF(AND(ISNUMBER(E769),ISNUMBER(F769),E769&gt;0,F769&gt;0),SQRT(3)*'Bulk Calculator'!O67*'Bulk Calculator'!AA67*((E769*'Bulk Calculator'!Q67)+(F769*SQRT(1-'Bulk Calculator'!Q67^2)))/'Bulk Calculator'!J67/'Bulk Calculator'!K67*100,D769*'Bulk Calculator'!AA67*'Bulk Calculator'!O67/'Bulk Calculator'!J67/'Bulk Calculator'!K67*100),"")</f>
        <v>0</v>
      </c>
      <c r="J769">
        <f>IFERROR(IF(AND(ISNUMBER(E769),ISNUMBER(F769),E769&gt;0,F769&gt;0),SQRT(3)*'Bulk Calculator'!O67*'Bulk Calculator'!U67*((E769*'Bulk Calculator'!M67)+(F769*SQRT(1-'Bulk Calculator'!M67^2)))/'Bulk Calculator'!J67/'Bulk Calculator'!K67*100,D769*'Bulk Calculator'!U67*'Bulk Calculator'!O67/'Bulk Calculator'!J67/'Bulk Calculator'!K67*100),"")</f>
        <v>0</v>
      </c>
      <c r="K769">
        <f>IFERROR(G769*B769*'Bulk Calculator'!J67/SQRT('Bulk Calculator'!S67)/1000,"")</f>
        <v>0</v>
      </c>
      <c r="L769">
        <f>IF(OR('Bulk Calculator'!R67="",'Bulk Calculator'!S67="",G769=""),0,IF(K769&gt;='Bulk Calculator'!R67,1,0))</f>
        <v>1</v>
      </c>
      <c r="M769">
        <f>IF(AND(H769=1,I769&lt;='OS-DORAEN'!$B$6,J769&lt;='OS-DORAEN'!$B$5,L769=1),1,0)</f>
        <v>1</v>
      </c>
      <c r="N769" t="str">
        <f t="shared" si="11"/>
        <v>Manufacturer VD Ref</v>
      </c>
    </row>
    <row r="770" spans="1:14" ht="15" customHeight="1" x14ac:dyDescent="0.35">
      <c r="A770">
        <v>68</v>
      </c>
      <c r="B770">
        <v>400</v>
      </c>
      <c r="C770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Master'!$F:$F,B770),"")</f>
        <v>530</v>
      </c>
      <c r="D770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Master'!$F:$F,B770),"")</f>
        <v>0.1023</v>
      </c>
      <c r="E770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Master'!$F:$F,B770),"")</f>
        <v>0.1023</v>
      </c>
      <c r="F770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Master'!$F:$F,B770),"")</f>
        <v>7.0000000000000007E-2</v>
      </c>
      <c r="G770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Master'!$F:$F,B770),"")</f>
        <v>143</v>
      </c>
      <c r="H770">
        <f>IF(AND(ISNUMBER(C770),C770&gt;='Bulk Calculator'!U68/('Bulk Calculator'!J68*'Bulk Calculator'!L68)),1,0)</f>
        <v>1</v>
      </c>
      <c r="I770">
        <f>IFERROR(IF(AND(ISNUMBER(E770),ISNUMBER(F770),E770&gt;0,F770&gt;0),SQRT(3)*'Bulk Calculator'!O68*'Bulk Calculator'!AA68*((E770*'Bulk Calculator'!Q68)+(F770*SQRT(1-'Bulk Calculator'!Q68^2)))/'Bulk Calculator'!J68/'Bulk Calculator'!K68*100,D770*'Bulk Calculator'!AA68*'Bulk Calculator'!O68/'Bulk Calculator'!J68/'Bulk Calculator'!K68*100),"")</f>
        <v>0</v>
      </c>
      <c r="J770">
        <f>IFERROR(IF(AND(ISNUMBER(E770),ISNUMBER(F770),E770&gt;0,F770&gt;0),SQRT(3)*'Bulk Calculator'!O68*'Bulk Calculator'!U68*((E770*'Bulk Calculator'!M68)+(F770*SQRT(1-'Bulk Calculator'!M68^2)))/'Bulk Calculator'!J68/'Bulk Calculator'!K68*100,D770*'Bulk Calculator'!U68*'Bulk Calculator'!O68/'Bulk Calculator'!J68/'Bulk Calculator'!K68*100),"")</f>
        <v>0</v>
      </c>
      <c r="K770">
        <f>IFERROR(G770*B770*'Bulk Calculator'!J68/SQRT('Bulk Calculator'!S68)/1000,"")</f>
        <v>127.90308831298798</v>
      </c>
      <c r="L770">
        <f>IF(OR('Bulk Calculator'!R68="",'Bulk Calculator'!S68="",G770=""),0,IF(K770&gt;='Bulk Calculator'!R68,1,0))</f>
        <v>1</v>
      </c>
      <c r="M770">
        <f>IF(AND(H770=1,I770&lt;='OS-DORAEN'!$B$6,J770&lt;='OS-DORAEN'!$B$5,L770=1),1,0)</f>
        <v>1</v>
      </c>
      <c r="N770" t="str">
        <f t="shared" ref="N770:N833" si="12">IF(AND(ISNUMBER(E770),ISNUMBER(F770),E770&gt;0,F770&gt;0),"R/X","Manufacturer VD Ref")</f>
        <v>R/X</v>
      </c>
    </row>
    <row r="771" spans="1:14" ht="15" customHeight="1" x14ac:dyDescent="0.35">
      <c r="A771">
        <v>68</v>
      </c>
      <c r="B771">
        <v>300</v>
      </c>
      <c r="C771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Master'!$F:$F,B771),"")</f>
        <v>455</v>
      </c>
      <c r="D771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Master'!$F:$F,B771),"")</f>
        <v>0.13</v>
      </c>
      <c r="E771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Master'!$F:$F,B771),"")</f>
        <v>0.13</v>
      </c>
      <c r="F771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Master'!$F:$F,B771),"")</f>
        <v>7.0999999999999994E-2</v>
      </c>
      <c r="G771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Master'!$F:$F,B771),"")</f>
        <v>143</v>
      </c>
      <c r="H771">
        <f>IF(AND(ISNUMBER(C771),C771&gt;='Bulk Calculator'!U68/('Bulk Calculator'!J68*'Bulk Calculator'!L68)),1,0)</f>
        <v>1</v>
      </c>
      <c r="I771">
        <f>IFERROR(IF(AND(ISNUMBER(E771),ISNUMBER(F771),E771&gt;0,F771&gt;0),SQRT(3)*'Bulk Calculator'!O68*'Bulk Calculator'!AA68*((E771*'Bulk Calculator'!Q68)+(F771*SQRT(1-'Bulk Calculator'!Q68^2)))/'Bulk Calculator'!J68/'Bulk Calculator'!K68*100,D771*'Bulk Calculator'!AA68*'Bulk Calculator'!O68/'Bulk Calculator'!J68/'Bulk Calculator'!K68*100),"")</f>
        <v>0</v>
      </c>
      <c r="J771">
        <f>IFERROR(IF(AND(ISNUMBER(E771),ISNUMBER(F771),E771&gt;0,F771&gt;0),SQRT(3)*'Bulk Calculator'!O68*'Bulk Calculator'!U68*((E771*'Bulk Calculator'!M68)+(F771*SQRT(1-'Bulk Calculator'!M68^2)))/'Bulk Calculator'!J68/'Bulk Calculator'!K68*100,D771*'Bulk Calculator'!U68*'Bulk Calculator'!O68/'Bulk Calculator'!J68/'Bulk Calculator'!K68*100),"")</f>
        <v>0</v>
      </c>
      <c r="K771">
        <f>IFERROR(G771*B771*'Bulk Calculator'!J68/SQRT('Bulk Calculator'!S68)/1000,"")</f>
        <v>95.927316234740985</v>
      </c>
      <c r="L771">
        <f>IF(OR('Bulk Calculator'!R68="",'Bulk Calculator'!S68="",G771=""),0,IF(K771&gt;='Bulk Calculator'!R68,1,0))</f>
        <v>1</v>
      </c>
      <c r="M771">
        <f>IF(AND(H771=1,I771&lt;='OS-DORAEN'!$B$6,J771&lt;='OS-DORAEN'!$B$5,L771=1),1,0)</f>
        <v>1</v>
      </c>
      <c r="N771" t="str">
        <f t="shared" si="12"/>
        <v>R/X</v>
      </c>
    </row>
    <row r="772" spans="1:14" ht="15" customHeight="1" x14ac:dyDescent="0.35">
      <c r="A772">
        <v>68</v>
      </c>
      <c r="B772">
        <v>240</v>
      </c>
      <c r="C772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Master'!$F:$F,B772),"")</f>
        <v>399</v>
      </c>
      <c r="D772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Master'!$F:$F,B772),"")</f>
        <v>0.16200000000000001</v>
      </c>
      <c r="E772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Master'!$F:$F,B772),"")</f>
        <v>0.16200000000000001</v>
      </c>
      <c r="F772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Master'!$F:$F,B772),"")</f>
        <v>7.1999999999999995E-2</v>
      </c>
      <c r="G772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Master'!$F:$F,B772),"")</f>
        <v>143</v>
      </c>
      <c r="H772">
        <f>IF(AND(ISNUMBER(C772),C772&gt;='Bulk Calculator'!U68/('Bulk Calculator'!J68*'Bulk Calculator'!L68)),1,0)</f>
        <v>1</v>
      </c>
      <c r="I772">
        <f>IFERROR(IF(AND(ISNUMBER(E772),ISNUMBER(F772),E772&gt;0,F772&gt;0),SQRT(3)*'Bulk Calculator'!O68*'Bulk Calculator'!AA68*((E772*'Bulk Calculator'!Q68)+(F772*SQRT(1-'Bulk Calculator'!Q68^2)))/'Bulk Calculator'!J68/'Bulk Calculator'!K68*100,D772*'Bulk Calculator'!AA68*'Bulk Calculator'!O68/'Bulk Calculator'!J68/'Bulk Calculator'!K68*100),"")</f>
        <v>0</v>
      </c>
      <c r="J772">
        <f>IFERROR(IF(AND(ISNUMBER(E772),ISNUMBER(F772),E772&gt;0,F772&gt;0),SQRT(3)*'Bulk Calculator'!O68*'Bulk Calculator'!U68*((E772*'Bulk Calculator'!M68)+(F772*SQRT(1-'Bulk Calculator'!M68^2)))/'Bulk Calculator'!J68/'Bulk Calculator'!K68*100,D772*'Bulk Calculator'!U68*'Bulk Calculator'!O68/'Bulk Calculator'!J68/'Bulk Calculator'!K68*100),"")</f>
        <v>0</v>
      </c>
      <c r="K772">
        <f>IFERROR(G772*B772*'Bulk Calculator'!J68/SQRT('Bulk Calculator'!S68)/1000,"")</f>
        <v>76.741852987792782</v>
      </c>
      <c r="L772">
        <f>IF(OR('Bulk Calculator'!R68="",'Bulk Calculator'!S68="",G772=""),0,IF(K772&gt;='Bulk Calculator'!R68,1,0))</f>
        <v>1</v>
      </c>
      <c r="M772">
        <f>IF(AND(H772=1,I772&lt;='OS-DORAEN'!$B$6,J772&lt;='OS-DORAEN'!$B$5,L772=1),1,0)</f>
        <v>1</v>
      </c>
      <c r="N772" t="str">
        <f t="shared" si="12"/>
        <v>R/X</v>
      </c>
    </row>
    <row r="773" spans="1:14" ht="15" customHeight="1" x14ac:dyDescent="0.35">
      <c r="A773">
        <v>68</v>
      </c>
      <c r="B773">
        <v>185</v>
      </c>
      <c r="C773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Master'!$F:$F,B773),"")</f>
        <v>337</v>
      </c>
      <c r="D773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Master'!$F:$F,B773),"")</f>
        <v>0.21099999999999999</v>
      </c>
      <c r="E773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Master'!$F:$F,B773),"")</f>
        <v>0.21099999999999999</v>
      </c>
      <c r="F773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Master'!$F:$F,B773),"")</f>
        <v>7.1999999999999995E-2</v>
      </c>
      <c r="G773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Master'!$F:$F,B773),"")</f>
        <v>143</v>
      </c>
      <c r="H773">
        <f>IF(AND(ISNUMBER(C773),C773&gt;='Bulk Calculator'!U68/('Bulk Calculator'!J68*'Bulk Calculator'!L68)),1,0)</f>
        <v>1</v>
      </c>
      <c r="I773">
        <f>IFERROR(IF(AND(ISNUMBER(E773),ISNUMBER(F773),E773&gt;0,F773&gt;0),SQRT(3)*'Bulk Calculator'!O68*'Bulk Calculator'!AA68*((E773*'Bulk Calculator'!Q68)+(F773*SQRT(1-'Bulk Calculator'!Q68^2)))/'Bulk Calculator'!J68/'Bulk Calculator'!K68*100,D773*'Bulk Calculator'!AA68*'Bulk Calculator'!O68/'Bulk Calculator'!J68/'Bulk Calculator'!K68*100),"")</f>
        <v>0</v>
      </c>
      <c r="J773">
        <f>IFERROR(IF(AND(ISNUMBER(E773),ISNUMBER(F773),E773&gt;0,F773&gt;0),SQRT(3)*'Bulk Calculator'!O68*'Bulk Calculator'!U68*((E773*'Bulk Calculator'!M68)+(F773*SQRT(1-'Bulk Calculator'!M68^2)))/'Bulk Calculator'!J68/'Bulk Calculator'!K68*100,D773*'Bulk Calculator'!U68*'Bulk Calculator'!O68/'Bulk Calculator'!J68/'Bulk Calculator'!K68*100),"")</f>
        <v>0</v>
      </c>
      <c r="K773">
        <f>IFERROR(G773*B773*'Bulk Calculator'!J68/SQRT('Bulk Calculator'!S68)/1000,"")</f>
        <v>59.155178344756941</v>
      </c>
      <c r="L773">
        <f>IF(OR('Bulk Calculator'!R68="",'Bulk Calculator'!S68="",G773=""),0,IF(K773&gt;='Bulk Calculator'!R68,1,0))</f>
        <v>1</v>
      </c>
      <c r="M773">
        <f>IF(AND(H773=1,I773&lt;='OS-DORAEN'!$B$6,J773&lt;='OS-DORAEN'!$B$5,L773=1),1,0)</f>
        <v>1</v>
      </c>
      <c r="N773" t="str">
        <f t="shared" si="12"/>
        <v>R/X</v>
      </c>
    </row>
    <row r="774" spans="1:14" ht="15" customHeight="1" x14ac:dyDescent="0.35">
      <c r="A774">
        <v>68</v>
      </c>
      <c r="B774">
        <v>150</v>
      </c>
      <c r="C774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Master'!$F:$F,B774),"")</f>
        <v>292</v>
      </c>
      <c r="D774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Master'!$F:$F,B774),"")</f>
        <v>0.26500000000000001</v>
      </c>
      <c r="E774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Master'!$F:$F,B774),"")</f>
        <v>0.26500000000000001</v>
      </c>
      <c r="F774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Master'!$F:$F,B774),"")</f>
        <v>7.1999999999999995E-2</v>
      </c>
      <c r="G774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Master'!$F:$F,B774),"")</f>
        <v>143</v>
      </c>
      <c r="H774">
        <f>IF(AND(ISNUMBER(C774),C774&gt;='Bulk Calculator'!U68/('Bulk Calculator'!J68*'Bulk Calculator'!L68)),1,0)</f>
        <v>1</v>
      </c>
      <c r="I774">
        <f>IFERROR(IF(AND(ISNUMBER(E774),ISNUMBER(F774),E774&gt;0,F774&gt;0),SQRT(3)*'Bulk Calculator'!O68*'Bulk Calculator'!AA68*((E774*'Bulk Calculator'!Q68)+(F774*SQRT(1-'Bulk Calculator'!Q68^2)))/'Bulk Calculator'!J68/'Bulk Calculator'!K68*100,D774*'Bulk Calculator'!AA68*'Bulk Calculator'!O68/'Bulk Calculator'!J68/'Bulk Calculator'!K68*100),"")</f>
        <v>0</v>
      </c>
      <c r="J774">
        <f>IFERROR(IF(AND(ISNUMBER(E774),ISNUMBER(F774),E774&gt;0,F774&gt;0),SQRT(3)*'Bulk Calculator'!O68*'Bulk Calculator'!U68*((E774*'Bulk Calculator'!M68)+(F774*SQRT(1-'Bulk Calculator'!M68^2)))/'Bulk Calculator'!J68/'Bulk Calculator'!K68*100,D774*'Bulk Calculator'!U68*'Bulk Calculator'!O68/'Bulk Calculator'!J68/'Bulk Calculator'!K68*100),"")</f>
        <v>0</v>
      </c>
      <c r="K774">
        <f>IFERROR(G774*B774*'Bulk Calculator'!J68/SQRT('Bulk Calculator'!S68)/1000,"")</f>
        <v>47.963658117370493</v>
      </c>
      <c r="L774">
        <f>IF(OR('Bulk Calculator'!R68="",'Bulk Calculator'!S68="",G774=""),0,IF(K774&gt;='Bulk Calculator'!R68,1,0))</f>
        <v>1</v>
      </c>
      <c r="M774">
        <f>IF(AND(H774=1,I774&lt;='OS-DORAEN'!$B$6,J774&lt;='OS-DORAEN'!$B$5,L774=1),1,0)</f>
        <v>1</v>
      </c>
      <c r="N774" t="str">
        <f t="shared" si="12"/>
        <v>R/X</v>
      </c>
    </row>
    <row r="775" spans="1:14" ht="15" customHeight="1" x14ac:dyDescent="0.35">
      <c r="A775">
        <v>68</v>
      </c>
      <c r="B775">
        <v>120</v>
      </c>
      <c r="C775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Master'!$F:$F,B775),"")</f>
        <v>257</v>
      </c>
      <c r="D775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Master'!$F:$F,B775),"")</f>
        <v>0.32500000000000001</v>
      </c>
      <c r="E775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Master'!$F:$F,B775),"")</f>
        <v>0.32500000000000001</v>
      </c>
      <c r="F775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Master'!$F:$F,B775),"")</f>
        <v>7.1999999999999995E-2</v>
      </c>
      <c r="G775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Master'!$F:$F,B775),"")</f>
        <v>143</v>
      </c>
      <c r="H775">
        <f>IF(AND(ISNUMBER(C775),C775&gt;='Bulk Calculator'!U68/('Bulk Calculator'!J68*'Bulk Calculator'!L68)),1,0)</f>
        <v>1</v>
      </c>
      <c r="I775">
        <f>IFERROR(IF(AND(ISNUMBER(E775),ISNUMBER(F775),E775&gt;0,F775&gt;0),SQRT(3)*'Bulk Calculator'!O68*'Bulk Calculator'!AA68*((E775*'Bulk Calculator'!Q68)+(F775*SQRT(1-'Bulk Calculator'!Q68^2)))/'Bulk Calculator'!J68/'Bulk Calculator'!K68*100,D775*'Bulk Calculator'!AA68*'Bulk Calculator'!O68/'Bulk Calculator'!J68/'Bulk Calculator'!K68*100),"")</f>
        <v>0</v>
      </c>
      <c r="J775">
        <f>IFERROR(IF(AND(ISNUMBER(E775),ISNUMBER(F775),E775&gt;0,F775&gt;0),SQRT(3)*'Bulk Calculator'!O68*'Bulk Calculator'!U68*((E775*'Bulk Calculator'!M68)+(F775*SQRT(1-'Bulk Calculator'!M68^2)))/'Bulk Calculator'!J68/'Bulk Calculator'!K68*100,D775*'Bulk Calculator'!U68*'Bulk Calculator'!O68/'Bulk Calculator'!J68/'Bulk Calculator'!K68*100),"")</f>
        <v>0</v>
      </c>
      <c r="K775">
        <f>IFERROR(G775*B775*'Bulk Calculator'!J68/SQRT('Bulk Calculator'!S68)/1000,"")</f>
        <v>38.370926493896391</v>
      </c>
      <c r="L775">
        <f>IF(OR('Bulk Calculator'!R68="",'Bulk Calculator'!S68="",G775=""),0,IF(K775&gt;='Bulk Calculator'!R68,1,0))</f>
        <v>1</v>
      </c>
      <c r="M775">
        <f>IF(AND(H775=1,I775&lt;='OS-DORAEN'!$B$6,J775&lt;='OS-DORAEN'!$B$5,L775=1),1,0)</f>
        <v>1</v>
      </c>
      <c r="N775" t="str">
        <f t="shared" si="12"/>
        <v>R/X</v>
      </c>
    </row>
    <row r="776" spans="1:14" ht="15" customHeight="1" x14ac:dyDescent="0.35">
      <c r="A776">
        <v>68</v>
      </c>
      <c r="B776">
        <v>95</v>
      </c>
      <c r="C776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Master'!$F:$F,B776),"")</f>
        <v>221</v>
      </c>
      <c r="D776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Master'!$F:$F,B776),"")</f>
        <v>0.41</v>
      </c>
      <c r="E776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Master'!$F:$F,B776),"")</f>
        <v>0.41</v>
      </c>
      <c r="F776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Master'!$F:$F,B776),"")</f>
        <v>7.3999999999999996E-2</v>
      </c>
      <c r="G776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Master'!$F:$F,B776),"")</f>
        <v>143</v>
      </c>
      <c r="H776">
        <f>IF(AND(ISNUMBER(C776),C776&gt;='Bulk Calculator'!U68/('Bulk Calculator'!J68*'Bulk Calculator'!L68)),1,0)</f>
        <v>1</v>
      </c>
      <c r="I776">
        <f>IFERROR(IF(AND(ISNUMBER(E776),ISNUMBER(F776),E776&gt;0,F776&gt;0),SQRT(3)*'Bulk Calculator'!O68*'Bulk Calculator'!AA68*((E776*'Bulk Calculator'!Q68)+(F776*SQRT(1-'Bulk Calculator'!Q68^2)))/'Bulk Calculator'!J68/'Bulk Calculator'!K68*100,D776*'Bulk Calculator'!AA68*'Bulk Calculator'!O68/'Bulk Calculator'!J68/'Bulk Calculator'!K68*100),"")</f>
        <v>0</v>
      </c>
      <c r="J776">
        <f>IFERROR(IF(AND(ISNUMBER(E776),ISNUMBER(F776),E776&gt;0,F776&gt;0),SQRT(3)*'Bulk Calculator'!O68*'Bulk Calculator'!U68*((E776*'Bulk Calculator'!M68)+(F776*SQRT(1-'Bulk Calculator'!M68^2)))/'Bulk Calculator'!J68/'Bulk Calculator'!K68*100,D776*'Bulk Calculator'!U68*'Bulk Calculator'!O68/'Bulk Calculator'!J68/'Bulk Calculator'!K68*100),"")</f>
        <v>0</v>
      </c>
      <c r="K776">
        <f>IFERROR(G776*B776*'Bulk Calculator'!J68/SQRT('Bulk Calculator'!S68)/1000,"")</f>
        <v>30.376983474334644</v>
      </c>
      <c r="L776">
        <f>IF(OR('Bulk Calculator'!R68="",'Bulk Calculator'!S68="",G776=""),0,IF(K776&gt;='Bulk Calculator'!R68,1,0))</f>
        <v>1</v>
      </c>
      <c r="M776">
        <f>IF(AND(H776=1,I776&lt;='OS-DORAEN'!$B$6,J776&lt;='OS-DORAEN'!$B$5,L776=1),1,0)</f>
        <v>1</v>
      </c>
      <c r="N776" t="str">
        <f t="shared" si="12"/>
        <v>R/X</v>
      </c>
    </row>
    <row r="777" spans="1:14" ht="15" customHeight="1" x14ac:dyDescent="0.35">
      <c r="A777">
        <v>68</v>
      </c>
      <c r="B777">
        <v>70</v>
      </c>
      <c r="C777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Master'!$F:$F,B777),"")</f>
        <v>179</v>
      </c>
      <c r="D777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Master'!$F:$F,B777),"")</f>
        <v>0.56699999999999995</v>
      </c>
      <c r="E777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Master'!$F:$F,B777),"")</f>
        <v>0.56699999999999995</v>
      </c>
      <c r="F777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Master'!$F:$F,B777),"")</f>
        <v>7.6999999999999999E-2</v>
      </c>
      <c r="G777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Master'!$F:$F,B777),"")</f>
        <v>143</v>
      </c>
      <c r="H777">
        <f>IF(AND(ISNUMBER(C777),C777&gt;='Bulk Calculator'!U68/('Bulk Calculator'!J68*'Bulk Calculator'!L68)),1,0)</f>
        <v>1</v>
      </c>
      <c r="I777">
        <f>IFERROR(IF(AND(ISNUMBER(E777),ISNUMBER(F777),E777&gt;0,F777&gt;0),SQRT(3)*'Bulk Calculator'!O68*'Bulk Calculator'!AA68*((E777*'Bulk Calculator'!Q68)+(F777*SQRT(1-'Bulk Calculator'!Q68^2)))/'Bulk Calculator'!J68/'Bulk Calculator'!K68*100,D777*'Bulk Calculator'!AA68*'Bulk Calculator'!O68/'Bulk Calculator'!J68/'Bulk Calculator'!K68*100),"")</f>
        <v>0</v>
      </c>
      <c r="J777">
        <f>IFERROR(IF(AND(ISNUMBER(E777),ISNUMBER(F777),E777&gt;0,F777&gt;0),SQRT(3)*'Bulk Calculator'!O68*'Bulk Calculator'!U68*((E777*'Bulk Calculator'!M68)+(F777*SQRT(1-'Bulk Calculator'!M68^2)))/'Bulk Calculator'!J68/'Bulk Calculator'!K68*100,D777*'Bulk Calculator'!U68*'Bulk Calculator'!O68/'Bulk Calculator'!J68/'Bulk Calculator'!K68*100),"")</f>
        <v>0</v>
      </c>
      <c r="K777">
        <f>IFERROR(G777*B777*'Bulk Calculator'!J68/SQRT('Bulk Calculator'!S68)/1000,"")</f>
        <v>22.383040454772893</v>
      </c>
      <c r="L777">
        <f>IF(OR('Bulk Calculator'!R68="",'Bulk Calculator'!S68="",G777=""),0,IF(K777&gt;='Bulk Calculator'!R68,1,0))</f>
        <v>1</v>
      </c>
      <c r="M777">
        <f>IF(AND(H777=1,I777&lt;='OS-DORAEN'!$B$6,J777&lt;='OS-DORAEN'!$B$5,L777=1),1,0)</f>
        <v>1</v>
      </c>
      <c r="N777" t="str">
        <f t="shared" si="12"/>
        <v>R/X</v>
      </c>
    </row>
    <row r="778" spans="1:14" ht="15" customHeight="1" x14ac:dyDescent="0.35">
      <c r="A778">
        <v>68</v>
      </c>
      <c r="B778">
        <v>50</v>
      </c>
      <c r="C778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Master'!$F:$F,B778),"")</f>
        <v>142</v>
      </c>
      <c r="D778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Master'!$F:$F,B778),"")</f>
        <v>0.82</v>
      </c>
      <c r="E778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Master'!$F:$F,B778),"")</f>
        <v>0.82</v>
      </c>
      <c r="F778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Master'!$F:$F,B778),"")</f>
        <v>7.8E-2</v>
      </c>
      <c r="G778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Master'!$F:$F,B778),"")</f>
        <v>143</v>
      </c>
      <c r="H778">
        <f>IF(AND(ISNUMBER(C778),C778&gt;='Bulk Calculator'!U68/('Bulk Calculator'!J68*'Bulk Calculator'!L68)),1,0)</f>
        <v>1</v>
      </c>
      <c r="I778">
        <f>IFERROR(IF(AND(ISNUMBER(E778),ISNUMBER(F778),E778&gt;0,F778&gt;0),SQRT(3)*'Bulk Calculator'!O68*'Bulk Calculator'!AA68*((E778*'Bulk Calculator'!Q68)+(F778*SQRT(1-'Bulk Calculator'!Q68^2)))/'Bulk Calculator'!J68/'Bulk Calculator'!K68*100,D778*'Bulk Calculator'!AA68*'Bulk Calculator'!O68/'Bulk Calculator'!J68/'Bulk Calculator'!K68*100),"")</f>
        <v>0</v>
      </c>
      <c r="J778">
        <f>IFERROR(IF(AND(ISNUMBER(E778),ISNUMBER(F778),E778&gt;0,F778&gt;0),SQRT(3)*'Bulk Calculator'!O68*'Bulk Calculator'!U68*((E778*'Bulk Calculator'!M68)+(F778*SQRT(1-'Bulk Calculator'!M68^2)))/'Bulk Calculator'!J68/'Bulk Calculator'!K68*100,D778*'Bulk Calculator'!U68*'Bulk Calculator'!O68/'Bulk Calculator'!J68/'Bulk Calculator'!K68*100),"")</f>
        <v>0</v>
      </c>
      <c r="K778">
        <f>IFERROR(G778*B778*'Bulk Calculator'!J68/SQRT('Bulk Calculator'!S68)/1000,"")</f>
        <v>15.987886039123497</v>
      </c>
      <c r="L778">
        <f>IF(OR('Bulk Calculator'!R68="",'Bulk Calculator'!S68="",G778=""),0,IF(K778&gt;='Bulk Calculator'!R68,1,0))</f>
        <v>1</v>
      </c>
      <c r="M778">
        <f>IF(AND(H778=1,I778&lt;='OS-DORAEN'!$B$6,J778&lt;='OS-DORAEN'!$B$5,L778=1),1,0)</f>
        <v>1</v>
      </c>
      <c r="N778" t="str">
        <f t="shared" si="12"/>
        <v>R/X</v>
      </c>
    </row>
    <row r="779" spans="1:14" ht="15" customHeight="1" x14ac:dyDescent="0.35">
      <c r="A779">
        <v>68</v>
      </c>
      <c r="B779">
        <v>35</v>
      </c>
      <c r="C779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Master'!$F:$F,B779),"")</f>
        <v>117</v>
      </c>
      <c r="D779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Master'!$F:$F,B779),"")</f>
        <v>1.1100000000000001</v>
      </c>
      <c r="E779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Master'!$F:$F,B779),"")</f>
        <v>1.1100000000000001</v>
      </c>
      <c r="F779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Master'!$F:$F,B779),"")</f>
        <v>0.08</v>
      </c>
      <c r="G779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Master'!$F:$F,B779),"")</f>
        <v>143</v>
      </c>
      <c r="H779">
        <f>IF(AND(ISNUMBER(C779),C779&gt;='Bulk Calculator'!U68/('Bulk Calculator'!J68*'Bulk Calculator'!L68)),1,0)</f>
        <v>1</v>
      </c>
      <c r="I779">
        <f>IFERROR(IF(AND(ISNUMBER(E779),ISNUMBER(F779),E779&gt;0,F779&gt;0),SQRT(3)*'Bulk Calculator'!O68*'Bulk Calculator'!AA68*((E779*'Bulk Calculator'!Q68)+(F779*SQRT(1-'Bulk Calculator'!Q68^2)))/'Bulk Calculator'!J68/'Bulk Calculator'!K68*100,D779*'Bulk Calculator'!AA68*'Bulk Calculator'!O68/'Bulk Calculator'!J68/'Bulk Calculator'!K68*100),"")</f>
        <v>0</v>
      </c>
      <c r="J779">
        <f>IFERROR(IF(AND(ISNUMBER(E779),ISNUMBER(F779),E779&gt;0,F779&gt;0),SQRT(3)*'Bulk Calculator'!O68*'Bulk Calculator'!U68*((E779*'Bulk Calculator'!M68)+(F779*SQRT(1-'Bulk Calculator'!M68^2)))/'Bulk Calculator'!J68/'Bulk Calculator'!K68*100,D779*'Bulk Calculator'!U68*'Bulk Calculator'!O68/'Bulk Calculator'!J68/'Bulk Calculator'!K68*100),"")</f>
        <v>0</v>
      </c>
      <c r="K779">
        <f>IFERROR(G779*B779*'Bulk Calculator'!J68/SQRT('Bulk Calculator'!S68)/1000,"")</f>
        <v>11.191520227386446</v>
      </c>
      <c r="L779">
        <f>IF(OR('Bulk Calculator'!R68="",'Bulk Calculator'!S68="",G779=""),0,IF(K779&gt;='Bulk Calculator'!R68,1,0))</f>
        <v>1</v>
      </c>
      <c r="M779">
        <f>IF(AND(H779=1,I779&lt;='OS-DORAEN'!$B$6,J779&lt;='OS-DORAEN'!$B$5,L779=1),1,0)</f>
        <v>1</v>
      </c>
      <c r="N779" t="str">
        <f t="shared" si="12"/>
        <v>R/X</v>
      </c>
    </row>
    <row r="780" spans="1:14" ht="15" customHeight="1" x14ac:dyDescent="0.35">
      <c r="A780">
        <v>68</v>
      </c>
      <c r="B780">
        <v>25</v>
      </c>
      <c r="C780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Master'!$F:$F,B780),"")</f>
        <v>96</v>
      </c>
      <c r="D780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Master'!$F:$F,B780),"")</f>
        <v>1.54</v>
      </c>
      <c r="E780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Master'!$F:$F,B780),"")</f>
        <v>1.54</v>
      </c>
      <c r="F780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Master'!$F:$F,B780),"")</f>
        <v>0.08</v>
      </c>
      <c r="G780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Master'!$F:$F,B780),"")</f>
        <v>143</v>
      </c>
      <c r="H780">
        <f>IF(AND(ISNUMBER(C780),C780&gt;='Bulk Calculator'!U68/('Bulk Calculator'!J68*'Bulk Calculator'!L68)),1,0)</f>
        <v>1</v>
      </c>
      <c r="I780">
        <f>IFERROR(IF(AND(ISNUMBER(E780),ISNUMBER(F780),E780&gt;0,F780&gt;0),SQRT(3)*'Bulk Calculator'!O68*'Bulk Calculator'!AA68*((E780*'Bulk Calculator'!Q68)+(F780*SQRT(1-'Bulk Calculator'!Q68^2)))/'Bulk Calculator'!J68/'Bulk Calculator'!K68*100,D780*'Bulk Calculator'!AA68*'Bulk Calculator'!O68/'Bulk Calculator'!J68/'Bulk Calculator'!K68*100),"")</f>
        <v>0</v>
      </c>
      <c r="J780">
        <f>IFERROR(IF(AND(ISNUMBER(E780),ISNUMBER(F780),E780&gt;0,F780&gt;0),SQRT(3)*'Bulk Calculator'!O68*'Bulk Calculator'!U68*((E780*'Bulk Calculator'!M68)+(F780*SQRT(1-'Bulk Calculator'!M68^2)))/'Bulk Calculator'!J68/'Bulk Calculator'!K68*100,D780*'Bulk Calculator'!U68*'Bulk Calculator'!O68/'Bulk Calculator'!J68/'Bulk Calculator'!K68*100),"")</f>
        <v>0</v>
      </c>
      <c r="K780">
        <f>IFERROR(G780*B780*'Bulk Calculator'!J68/SQRT('Bulk Calculator'!S68)/1000,"")</f>
        <v>7.9939430195617485</v>
      </c>
      <c r="L780">
        <f>IF(OR('Bulk Calculator'!R68="",'Bulk Calculator'!S68="",G780=""),0,IF(K780&gt;='Bulk Calculator'!R68,1,0))</f>
        <v>1</v>
      </c>
      <c r="M780">
        <f>IF(AND(H780=1,I780&lt;='OS-DORAEN'!$B$6,J780&lt;='OS-DORAEN'!$B$5,L780=1),1,0)</f>
        <v>1</v>
      </c>
      <c r="N780" t="str">
        <f t="shared" si="12"/>
        <v>R/X</v>
      </c>
    </row>
    <row r="781" spans="1:14" ht="15" customHeight="1" x14ac:dyDescent="0.35">
      <c r="A781">
        <v>68</v>
      </c>
      <c r="B781">
        <v>16</v>
      </c>
      <c r="C781">
        <f>IFERROR(SUMIFS('Cable Data Master'!$G:$G,'Cable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Master'!$F:$F,B781),"")</f>
        <v>0</v>
      </c>
      <c r="D781">
        <f>IFERROR(SUMIFS('Cable Data Master'!$K:$K,'Cable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Master'!$F:$F,B781),"")</f>
        <v>0</v>
      </c>
      <c r="E781">
        <f>IFERROR(SUMIFS('Cable Data Master'!$H:$H,'Cable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Master'!$F:$F,B781),"")</f>
        <v>0</v>
      </c>
      <c r="F781">
        <f>IFERROR(SUMIFS('Cable Data Master'!$I:$I,'Cable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Master'!$F:$F,B781),"")</f>
        <v>0</v>
      </c>
      <c r="G781">
        <f>IFERROR(SUMIFS('Cable Data Master'!$J:$J,'Cable Data Master'!$A:$A,'Bulk Calculator'!$BF68,'Cable Data Master'!$B:$B,'Bulk Calculator'!$BG68,'Cable Data Master'!$C:$C,'Bulk Calculator'!$BH68,'Cable Data Master'!$D:$D,'Bulk Calculator'!$BI68,'Cable Data Master'!$E:$E,'Bulk Calculator'!$BJ68,'Cable Data Master'!$F:$F,B781),"")</f>
        <v>0</v>
      </c>
      <c r="H781">
        <f>IF(AND(ISNUMBER(C781),C781&gt;='Bulk Calculator'!U68/('Bulk Calculator'!J68*'Bulk Calculator'!L68)),1,0)</f>
        <v>1</v>
      </c>
      <c r="I781">
        <f>IFERROR(IF(AND(ISNUMBER(E781),ISNUMBER(F781),E781&gt;0,F781&gt;0),SQRT(3)*'Bulk Calculator'!O68*'Bulk Calculator'!AA68*((E781*'Bulk Calculator'!Q68)+(F781*SQRT(1-'Bulk Calculator'!Q68^2)))/'Bulk Calculator'!J68/'Bulk Calculator'!K68*100,D781*'Bulk Calculator'!AA68*'Bulk Calculator'!O68/'Bulk Calculator'!J68/'Bulk Calculator'!K68*100),"")</f>
        <v>0</v>
      </c>
      <c r="J781">
        <f>IFERROR(IF(AND(ISNUMBER(E781),ISNUMBER(F781),E781&gt;0,F781&gt;0),SQRT(3)*'Bulk Calculator'!O68*'Bulk Calculator'!U68*((E781*'Bulk Calculator'!M68)+(F781*SQRT(1-'Bulk Calculator'!M68^2)))/'Bulk Calculator'!J68/'Bulk Calculator'!K68*100,D781*'Bulk Calculator'!U68*'Bulk Calculator'!O68/'Bulk Calculator'!J68/'Bulk Calculator'!K68*100),"")</f>
        <v>0</v>
      </c>
      <c r="K781">
        <f>IFERROR(G781*B781*'Bulk Calculator'!J68/SQRT('Bulk Calculator'!S68)/1000,"")</f>
        <v>0</v>
      </c>
      <c r="L781">
        <f>IF(OR('Bulk Calculator'!R68="",'Bulk Calculator'!S68="",G781=""),0,IF(K781&gt;='Bulk Calculator'!R68,1,0))</f>
        <v>1</v>
      </c>
      <c r="M781">
        <f>IF(AND(H781=1,I781&lt;='OS-DORAEN'!$B$6,J781&lt;='OS-DORAEN'!$B$5,L781=1),1,0)</f>
        <v>1</v>
      </c>
      <c r="N781" t="str">
        <f t="shared" si="12"/>
        <v>Manufacturer VD Ref</v>
      </c>
    </row>
    <row r="782" spans="1:14" ht="15" customHeight="1" x14ac:dyDescent="0.35">
      <c r="A782">
        <v>69</v>
      </c>
      <c r="B782">
        <v>400</v>
      </c>
      <c r="C782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Master'!$F:$F,B782),"")</f>
        <v>530</v>
      </c>
      <c r="D782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Master'!$F:$F,B782),"")</f>
        <v>0.1023</v>
      </c>
      <c r="E782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Master'!$F:$F,B782),"")</f>
        <v>0.1023</v>
      </c>
      <c r="F782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Master'!$F:$F,B782),"")</f>
        <v>7.0000000000000007E-2</v>
      </c>
      <c r="G782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Master'!$F:$F,B782),"")</f>
        <v>143</v>
      </c>
      <c r="H782">
        <f>IF(AND(ISNUMBER(C782),C782&gt;='Bulk Calculator'!U69/('Bulk Calculator'!J69*'Bulk Calculator'!L69)),1,0)</f>
        <v>1</v>
      </c>
      <c r="I782">
        <f>IFERROR(IF(AND(ISNUMBER(E782),ISNUMBER(F782),E782&gt;0,F782&gt;0),SQRT(3)*'Bulk Calculator'!O69*'Bulk Calculator'!AA69*((E782*'Bulk Calculator'!Q69)+(F782*SQRT(1-'Bulk Calculator'!Q69^2)))/'Bulk Calculator'!J69/'Bulk Calculator'!K69*100,D782*'Bulk Calculator'!AA69*'Bulk Calculator'!O69/'Bulk Calculator'!J69/'Bulk Calculator'!K69*100),"")</f>
        <v>0</v>
      </c>
      <c r="J782">
        <f>IFERROR(IF(AND(ISNUMBER(E782),ISNUMBER(F782),E782&gt;0,F782&gt;0),SQRT(3)*'Bulk Calculator'!O69*'Bulk Calculator'!U69*((E782*'Bulk Calculator'!M69)+(F782*SQRT(1-'Bulk Calculator'!M69^2)))/'Bulk Calculator'!J69/'Bulk Calculator'!K69*100,D782*'Bulk Calculator'!U69*'Bulk Calculator'!O69/'Bulk Calculator'!J69/'Bulk Calculator'!K69*100),"")</f>
        <v>0</v>
      </c>
      <c r="K782">
        <f>IFERROR(G782*B782*'Bulk Calculator'!J69/SQRT('Bulk Calculator'!S69)/1000,"")</f>
        <v>127.90308831298798</v>
      </c>
      <c r="L782">
        <f>IF(OR('Bulk Calculator'!R69="",'Bulk Calculator'!S69="",G782=""),0,IF(K782&gt;='Bulk Calculator'!R69,1,0))</f>
        <v>1</v>
      </c>
      <c r="M782">
        <f>IF(AND(H782=1,I782&lt;='OS-DORAEN'!$B$6,J782&lt;='OS-DORAEN'!$B$5,L782=1),1,0)</f>
        <v>1</v>
      </c>
      <c r="N782" t="str">
        <f t="shared" si="12"/>
        <v>R/X</v>
      </c>
    </row>
    <row r="783" spans="1:14" ht="15" customHeight="1" x14ac:dyDescent="0.35">
      <c r="A783">
        <v>69</v>
      </c>
      <c r="B783">
        <v>300</v>
      </c>
      <c r="C783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Master'!$F:$F,B783),"")</f>
        <v>455</v>
      </c>
      <c r="D783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Master'!$F:$F,B783),"")</f>
        <v>0.13</v>
      </c>
      <c r="E783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Master'!$F:$F,B783),"")</f>
        <v>0.13</v>
      </c>
      <c r="F783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Master'!$F:$F,B783),"")</f>
        <v>7.0999999999999994E-2</v>
      </c>
      <c r="G783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Master'!$F:$F,B783),"")</f>
        <v>143</v>
      </c>
      <c r="H783">
        <f>IF(AND(ISNUMBER(C783),C783&gt;='Bulk Calculator'!U69/('Bulk Calculator'!J69*'Bulk Calculator'!L69)),1,0)</f>
        <v>1</v>
      </c>
      <c r="I783">
        <f>IFERROR(IF(AND(ISNUMBER(E783),ISNUMBER(F783),E783&gt;0,F783&gt;0),SQRT(3)*'Bulk Calculator'!O69*'Bulk Calculator'!AA69*((E783*'Bulk Calculator'!Q69)+(F783*SQRT(1-'Bulk Calculator'!Q69^2)))/'Bulk Calculator'!J69/'Bulk Calculator'!K69*100,D783*'Bulk Calculator'!AA69*'Bulk Calculator'!O69/'Bulk Calculator'!J69/'Bulk Calculator'!K69*100),"")</f>
        <v>0</v>
      </c>
      <c r="J783">
        <f>IFERROR(IF(AND(ISNUMBER(E783),ISNUMBER(F783),E783&gt;0,F783&gt;0),SQRT(3)*'Bulk Calculator'!O69*'Bulk Calculator'!U69*((E783*'Bulk Calculator'!M69)+(F783*SQRT(1-'Bulk Calculator'!M69^2)))/'Bulk Calculator'!J69/'Bulk Calculator'!K69*100,D783*'Bulk Calculator'!U69*'Bulk Calculator'!O69/'Bulk Calculator'!J69/'Bulk Calculator'!K69*100),"")</f>
        <v>0</v>
      </c>
      <c r="K783">
        <f>IFERROR(G783*B783*'Bulk Calculator'!J69/SQRT('Bulk Calculator'!S69)/1000,"")</f>
        <v>95.927316234740985</v>
      </c>
      <c r="L783">
        <f>IF(OR('Bulk Calculator'!R69="",'Bulk Calculator'!S69="",G783=""),0,IF(K783&gt;='Bulk Calculator'!R69,1,0))</f>
        <v>1</v>
      </c>
      <c r="M783">
        <f>IF(AND(H783=1,I783&lt;='OS-DORAEN'!$B$6,J783&lt;='OS-DORAEN'!$B$5,L783=1),1,0)</f>
        <v>1</v>
      </c>
      <c r="N783" t="str">
        <f t="shared" si="12"/>
        <v>R/X</v>
      </c>
    </row>
    <row r="784" spans="1:14" ht="15" customHeight="1" x14ac:dyDescent="0.35">
      <c r="A784">
        <v>69</v>
      </c>
      <c r="B784">
        <v>240</v>
      </c>
      <c r="C784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Master'!$F:$F,B784),"")</f>
        <v>399</v>
      </c>
      <c r="D784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Master'!$F:$F,B784),"")</f>
        <v>0.16200000000000001</v>
      </c>
      <c r="E784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Master'!$F:$F,B784),"")</f>
        <v>0.16200000000000001</v>
      </c>
      <c r="F784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Master'!$F:$F,B784),"")</f>
        <v>7.1999999999999995E-2</v>
      </c>
      <c r="G784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Master'!$F:$F,B784),"")</f>
        <v>143</v>
      </c>
      <c r="H784">
        <f>IF(AND(ISNUMBER(C784),C784&gt;='Bulk Calculator'!U69/('Bulk Calculator'!J69*'Bulk Calculator'!L69)),1,0)</f>
        <v>1</v>
      </c>
      <c r="I784">
        <f>IFERROR(IF(AND(ISNUMBER(E784),ISNUMBER(F784),E784&gt;0,F784&gt;0),SQRT(3)*'Bulk Calculator'!O69*'Bulk Calculator'!AA69*((E784*'Bulk Calculator'!Q69)+(F784*SQRT(1-'Bulk Calculator'!Q69^2)))/'Bulk Calculator'!J69/'Bulk Calculator'!K69*100,D784*'Bulk Calculator'!AA69*'Bulk Calculator'!O69/'Bulk Calculator'!J69/'Bulk Calculator'!K69*100),"")</f>
        <v>0</v>
      </c>
      <c r="J784">
        <f>IFERROR(IF(AND(ISNUMBER(E784),ISNUMBER(F784),E784&gt;0,F784&gt;0),SQRT(3)*'Bulk Calculator'!O69*'Bulk Calculator'!U69*((E784*'Bulk Calculator'!M69)+(F784*SQRT(1-'Bulk Calculator'!M69^2)))/'Bulk Calculator'!J69/'Bulk Calculator'!K69*100,D784*'Bulk Calculator'!U69*'Bulk Calculator'!O69/'Bulk Calculator'!J69/'Bulk Calculator'!K69*100),"")</f>
        <v>0</v>
      </c>
      <c r="K784">
        <f>IFERROR(G784*B784*'Bulk Calculator'!J69/SQRT('Bulk Calculator'!S69)/1000,"")</f>
        <v>76.741852987792782</v>
      </c>
      <c r="L784">
        <f>IF(OR('Bulk Calculator'!R69="",'Bulk Calculator'!S69="",G784=""),0,IF(K784&gt;='Bulk Calculator'!R69,1,0))</f>
        <v>1</v>
      </c>
      <c r="M784">
        <f>IF(AND(H784=1,I784&lt;='OS-DORAEN'!$B$6,J784&lt;='OS-DORAEN'!$B$5,L784=1),1,0)</f>
        <v>1</v>
      </c>
      <c r="N784" t="str">
        <f t="shared" si="12"/>
        <v>R/X</v>
      </c>
    </row>
    <row r="785" spans="1:14" ht="15" customHeight="1" x14ac:dyDescent="0.35">
      <c r="A785">
        <v>69</v>
      </c>
      <c r="B785">
        <v>185</v>
      </c>
      <c r="C785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Master'!$F:$F,B785),"")</f>
        <v>337</v>
      </c>
      <c r="D785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Master'!$F:$F,B785),"")</f>
        <v>0.21099999999999999</v>
      </c>
      <c r="E785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Master'!$F:$F,B785),"")</f>
        <v>0.21099999999999999</v>
      </c>
      <c r="F785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Master'!$F:$F,B785),"")</f>
        <v>7.1999999999999995E-2</v>
      </c>
      <c r="G785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Master'!$F:$F,B785),"")</f>
        <v>143</v>
      </c>
      <c r="H785">
        <f>IF(AND(ISNUMBER(C785),C785&gt;='Bulk Calculator'!U69/('Bulk Calculator'!J69*'Bulk Calculator'!L69)),1,0)</f>
        <v>1</v>
      </c>
      <c r="I785">
        <f>IFERROR(IF(AND(ISNUMBER(E785),ISNUMBER(F785),E785&gt;0,F785&gt;0),SQRT(3)*'Bulk Calculator'!O69*'Bulk Calculator'!AA69*((E785*'Bulk Calculator'!Q69)+(F785*SQRT(1-'Bulk Calculator'!Q69^2)))/'Bulk Calculator'!J69/'Bulk Calculator'!K69*100,D785*'Bulk Calculator'!AA69*'Bulk Calculator'!O69/'Bulk Calculator'!J69/'Bulk Calculator'!K69*100),"")</f>
        <v>0</v>
      </c>
      <c r="J785">
        <f>IFERROR(IF(AND(ISNUMBER(E785),ISNUMBER(F785),E785&gt;0,F785&gt;0),SQRT(3)*'Bulk Calculator'!O69*'Bulk Calculator'!U69*((E785*'Bulk Calculator'!M69)+(F785*SQRT(1-'Bulk Calculator'!M69^2)))/'Bulk Calculator'!J69/'Bulk Calculator'!K69*100,D785*'Bulk Calculator'!U69*'Bulk Calculator'!O69/'Bulk Calculator'!J69/'Bulk Calculator'!K69*100),"")</f>
        <v>0</v>
      </c>
      <c r="K785">
        <f>IFERROR(G785*B785*'Bulk Calculator'!J69/SQRT('Bulk Calculator'!S69)/1000,"")</f>
        <v>59.155178344756941</v>
      </c>
      <c r="L785">
        <f>IF(OR('Bulk Calculator'!R69="",'Bulk Calculator'!S69="",G785=""),0,IF(K785&gt;='Bulk Calculator'!R69,1,0))</f>
        <v>1</v>
      </c>
      <c r="M785">
        <f>IF(AND(H785=1,I785&lt;='OS-DORAEN'!$B$6,J785&lt;='OS-DORAEN'!$B$5,L785=1),1,0)</f>
        <v>1</v>
      </c>
      <c r="N785" t="str">
        <f t="shared" si="12"/>
        <v>R/X</v>
      </c>
    </row>
    <row r="786" spans="1:14" ht="15" customHeight="1" x14ac:dyDescent="0.35">
      <c r="A786">
        <v>69</v>
      </c>
      <c r="B786">
        <v>150</v>
      </c>
      <c r="C786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Master'!$F:$F,B786),"")</f>
        <v>292</v>
      </c>
      <c r="D786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Master'!$F:$F,B786),"")</f>
        <v>0.26500000000000001</v>
      </c>
      <c r="E786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Master'!$F:$F,B786),"")</f>
        <v>0.26500000000000001</v>
      </c>
      <c r="F786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Master'!$F:$F,B786),"")</f>
        <v>7.1999999999999995E-2</v>
      </c>
      <c r="G786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Master'!$F:$F,B786),"")</f>
        <v>143</v>
      </c>
      <c r="H786">
        <f>IF(AND(ISNUMBER(C786),C786&gt;='Bulk Calculator'!U69/('Bulk Calculator'!J69*'Bulk Calculator'!L69)),1,0)</f>
        <v>1</v>
      </c>
      <c r="I786">
        <f>IFERROR(IF(AND(ISNUMBER(E786),ISNUMBER(F786),E786&gt;0,F786&gt;0),SQRT(3)*'Bulk Calculator'!O69*'Bulk Calculator'!AA69*((E786*'Bulk Calculator'!Q69)+(F786*SQRT(1-'Bulk Calculator'!Q69^2)))/'Bulk Calculator'!J69/'Bulk Calculator'!K69*100,D786*'Bulk Calculator'!AA69*'Bulk Calculator'!O69/'Bulk Calculator'!J69/'Bulk Calculator'!K69*100),"")</f>
        <v>0</v>
      </c>
      <c r="J786">
        <f>IFERROR(IF(AND(ISNUMBER(E786),ISNUMBER(F786),E786&gt;0,F786&gt;0),SQRT(3)*'Bulk Calculator'!O69*'Bulk Calculator'!U69*((E786*'Bulk Calculator'!M69)+(F786*SQRT(1-'Bulk Calculator'!M69^2)))/'Bulk Calculator'!J69/'Bulk Calculator'!K69*100,D786*'Bulk Calculator'!U69*'Bulk Calculator'!O69/'Bulk Calculator'!J69/'Bulk Calculator'!K69*100),"")</f>
        <v>0</v>
      </c>
      <c r="K786">
        <f>IFERROR(G786*B786*'Bulk Calculator'!J69/SQRT('Bulk Calculator'!S69)/1000,"")</f>
        <v>47.963658117370493</v>
      </c>
      <c r="L786">
        <f>IF(OR('Bulk Calculator'!R69="",'Bulk Calculator'!S69="",G786=""),0,IF(K786&gt;='Bulk Calculator'!R69,1,0))</f>
        <v>1</v>
      </c>
      <c r="M786">
        <f>IF(AND(H786=1,I786&lt;='OS-DORAEN'!$B$6,J786&lt;='OS-DORAEN'!$B$5,L786=1),1,0)</f>
        <v>1</v>
      </c>
      <c r="N786" t="str">
        <f t="shared" si="12"/>
        <v>R/X</v>
      </c>
    </row>
    <row r="787" spans="1:14" ht="15" customHeight="1" x14ac:dyDescent="0.35">
      <c r="A787">
        <v>69</v>
      </c>
      <c r="B787">
        <v>120</v>
      </c>
      <c r="C787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Master'!$F:$F,B787),"")</f>
        <v>257</v>
      </c>
      <c r="D787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Master'!$F:$F,B787),"")</f>
        <v>0.32500000000000001</v>
      </c>
      <c r="E787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Master'!$F:$F,B787),"")</f>
        <v>0.32500000000000001</v>
      </c>
      <c r="F787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Master'!$F:$F,B787),"")</f>
        <v>7.1999999999999995E-2</v>
      </c>
      <c r="G787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Master'!$F:$F,B787),"")</f>
        <v>143</v>
      </c>
      <c r="H787">
        <f>IF(AND(ISNUMBER(C787),C787&gt;='Bulk Calculator'!U69/('Bulk Calculator'!J69*'Bulk Calculator'!L69)),1,0)</f>
        <v>1</v>
      </c>
      <c r="I787">
        <f>IFERROR(IF(AND(ISNUMBER(E787),ISNUMBER(F787),E787&gt;0,F787&gt;0),SQRT(3)*'Bulk Calculator'!O69*'Bulk Calculator'!AA69*((E787*'Bulk Calculator'!Q69)+(F787*SQRT(1-'Bulk Calculator'!Q69^2)))/'Bulk Calculator'!J69/'Bulk Calculator'!K69*100,D787*'Bulk Calculator'!AA69*'Bulk Calculator'!O69/'Bulk Calculator'!J69/'Bulk Calculator'!K69*100),"")</f>
        <v>0</v>
      </c>
      <c r="J787">
        <f>IFERROR(IF(AND(ISNUMBER(E787),ISNUMBER(F787),E787&gt;0,F787&gt;0),SQRT(3)*'Bulk Calculator'!O69*'Bulk Calculator'!U69*((E787*'Bulk Calculator'!M69)+(F787*SQRT(1-'Bulk Calculator'!M69^2)))/'Bulk Calculator'!J69/'Bulk Calculator'!K69*100,D787*'Bulk Calculator'!U69*'Bulk Calculator'!O69/'Bulk Calculator'!J69/'Bulk Calculator'!K69*100),"")</f>
        <v>0</v>
      </c>
      <c r="K787">
        <f>IFERROR(G787*B787*'Bulk Calculator'!J69/SQRT('Bulk Calculator'!S69)/1000,"")</f>
        <v>38.370926493896391</v>
      </c>
      <c r="L787">
        <f>IF(OR('Bulk Calculator'!R69="",'Bulk Calculator'!S69="",G787=""),0,IF(K787&gt;='Bulk Calculator'!R69,1,0))</f>
        <v>1</v>
      </c>
      <c r="M787">
        <f>IF(AND(H787=1,I787&lt;='OS-DORAEN'!$B$6,J787&lt;='OS-DORAEN'!$B$5,L787=1),1,0)</f>
        <v>1</v>
      </c>
      <c r="N787" t="str">
        <f t="shared" si="12"/>
        <v>R/X</v>
      </c>
    </row>
    <row r="788" spans="1:14" ht="15" customHeight="1" x14ac:dyDescent="0.35">
      <c r="A788">
        <v>69</v>
      </c>
      <c r="B788">
        <v>95</v>
      </c>
      <c r="C788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Master'!$F:$F,B788),"")</f>
        <v>221</v>
      </c>
      <c r="D788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Master'!$F:$F,B788),"")</f>
        <v>0.41</v>
      </c>
      <c r="E788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Master'!$F:$F,B788),"")</f>
        <v>0.41</v>
      </c>
      <c r="F788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Master'!$F:$F,B788),"")</f>
        <v>7.3999999999999996E-2</v>
      </c>
      <c r="G788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Master'!$F:$F,B788),"")</f>
        <v>143</v>
      </c>
      <c r="H788">
        <f>IF(AND(ISNUMBER(C788),C788&gt;='Bulk Calculator'!U69/('Bulk Calculator'!J69*'Bulk Calculator'!L69)),1,0)</f>
        <v>1</v>
      </c>
      <c r="I788">
        <f>IFERROR(IF(AND(ISNUMBER(E788),ISNUMBER(F788),E788&gt;0,F788&gt;0),SQRT(3)*'Bulk Calculator'!O69*'Bulk Calculator'!AA69*((E788*'Bulk Calculator'!Q69)+(F788*SQRT(1-'Bulk Calculator'!Q69^2)))/'Bulk Calculator'!J69/'Bulk Calculator'!K69*100,D788*'Bulk Calculator'!AA69*'Bulk Calculator'!O69/'Bulk Calculator'!J69/'Bulk Calculator'!K69*100),"")</f>
        <v>0</v>
      </c>
      <c r="J788">
        <f>IFERROR(IF(AND(ISNUMBER(E788),ISNUMBER(F788),E788&gt;0,F788&gt;0),SQRT(3)*'Bulk Calculator'!O69*'Bulk Calculator'!U69*((E788*'Bulk Calculator'!M69)+(F788*SQRT(1-'Bulk Calculator'!M69^2)))/'Bulk Calculator'!J69/'Bulk Calculator'!K69*100,D788*'Bulk Calculator'!U69*'Bulk Calculator'!O69/'Bulk Calculator'!J69/'Bulk Calculator'!K69*100),"")</f>
        <v>0</v>
      </c>
      <c r="K788">
        <f>IFERROR(G788*B788*'Bulk Calculator'!J69/SQRT('Bulk Calculator'!S69)/1000,"")</f>
        <v>30.376983474334644</v>
      </c>
      <c r="L788">
        <f>IF(OR('Bulk Calculator'!R69="",'Bulk Calculator'!S69="",G788=""),0,IF(K788&gt;='Bulk Calculator'!R69,1,0))</f>
        <v>1</v>
      </c>
      <c r="M788">
        <f>IF(AND(H788=1,I788&lt;='OS-DORAEN'!$B$6,J788&lt;='OS-DORAEN'!$B$5,L788=1),1,0)</f>
        <v>1</v>
      </c>
      <c r="N788" t="str">
        <f t="shared" si="12"/>
        <v>R/X</v>
      </c>
    </row>
    <row r="789" spans="1:14" ht="15" customHeight="1" x14ac:dyDescent="0.35">
      <c r="A789">
        <v>69</v>
      </c>
      <c r="B789">
        <v>70</v>
      </c>
      <c r="C789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Master'!$F:$F,B789),"")</f>
        <v>179</v>
      </c>
      <c r="D789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Master'!$F:$F,B789),"")</f>
        <v>0.56699999999999995</v>
      </c>
      <c r="E789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Master'!$F:$F,B789),"")</f>
        <v>0.56699999999999995</v>
      </c>
      <c r="F789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Master'!$F:$F,B789),"")</f>
        <v>7.6999999999999999E-2</v>
      </c>
      <c r="G789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Master'!$F:$F,B789),"")</f>
        <v>143</v>
      </c>
      <c r="H789">
        <f>IF(AND(ISNUMBER(C789),C789&gt;='Bulk Calculator'!U69/('Bulk Calculator'!J69*'Bulk Calculator'!L69)),1,0)</f>
        <v>1</v>
      </c>
      <c r="I789">
        <f>IFERROR(IF(AND(ISNUMBER(E789),ISNUMBER(F789),E789&gt;0,F789&gt;0),SQRT(3)*'Bulk Calculator'!O69*'Bulk Calculator'!AA69*((E789*'Bulk Calculator'!Q69)+(F789*SQRT(1-'Bulk Calculator'!Q69^2)))/'Bulk Calculator'!J69/'Bulk Calculator'!K69*100,D789*'Bulk Calculator'!AA69*'Bulk Calculator'!O69/'Bulk Calculator'!J69/'Bulk Calculator'!K69*100),"")</f>
        <v>0</v>
      </c>
      <c r="J789">
        <f>IFERROR(IF(AND(ISNUMBER(E789),ISNUMBER(F789),E789&gt;0,F789&gt;0),SQRT(3)*'Bulk Calculator'!O69*'Bulk Calculator'!U69*((E789*'Bulk Calculator'!M69)+(F789*SQRT(1-'Bulk Calculator'!M69^2)))/'Bulk Calculator'!J69/'Bulk Calculator'!K69*100,D789*'Bulk Calculator'!U69*'Bulk Calculator'!O69/'Bulk Calculator'!J69/'Bulk Calculator'!K69*100),"")</f>
        <v>0</v>
      </c>
      <c r="K789">
        <f>IFERROR(G789*B789*'Bulk Calculator'!J69/SQRT('Bulk Calculator'!S69)/1000,"")</f>
        <v>22.383040454772893</v>
      </c>
      <c r="L789">
        <f>IF(OR('Bulk Calculator'!R69="",'Bulk Calculator'!S69="",G789=""),0,IF(K789&gt;='Bulk Calculator'!R69,1,0))</f>
        <v>1</v>
      </c>
      <c r="M789">
        <f>IF(AND(H789=1,I789&lt;='OS-DORAEN'!$B$6,J789&lt;='OS-DORAEN'!$B$5,L789=1),1,0)</f>
        <v>1</v>
      </c>
      <c r="N789" t="str">
        <f t="shared" si="12"/>
        <v>R/X</v>
      </c>
    </row>
    <row r="790" spans="1:14" ht="15" customHeight="1" x14ac:dyDescent="0.35">
      <c r="A790">
        <v>69</v>
      </c>
      <c r="B790">
        <v>50</v>
      </c>
      <c r="C790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Master'!$F:$F,B790),"")</f>
        <v>142</v>
      </c>
      <c r="D790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Master'!$F:$F,B790),"")</f>
        <v>0.82</v>
      </c>
      <c r="E790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Master'!$F:$F,B790),"")</f>
        <v>0.82</v>
      </c>
      <c r="F790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Master'!$F:$F,B790),"")</f>
        <v>7.8E-2</v>
      </c>
      <c r="G790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Master'!$F:$F,B790),"")</f>
        <v>143</v>
      </c>
      <c r="H790">
        <f>IF(AND(ISNUMBER(C790),C790&gt;='Bulk Calculator'!U69/('Bulk Calculator'!J69*'Bulk Calculator'!L69)),1,0)</f>
        <v>1</v>
      </c>
      <c r="I790">
        <f>IFERROR(IF(AND(ISNUMBER(E790),ISNUMBER(F790),E790&gt;0,F790&gt;0),SQRT(3)*'Bulk Calculator'!O69*'Bulk Calculator'!AA69*((E790*'Bulk Calculator'!Q69)+(F790*SQRT(1-'Bulk Calculator'!Q69^2)))/'Bulk Calculator'!J69/'Bulk Calculator'!K69*100,D790*'Bulk Calculator'!AA69*'Bulk Calculator'!O69/'Bulk Calculator'!J69/'Bulk Calculator'!K69*100),"")</f>
        <v>0</v>
      </c>
      <c r="J790">
        <f>IFERROR(IF(AND(ISNUMBER(E790),ISNUMBER(F790),E790&gt;0,F790&gt;0),SQRT(3)*'Bulk Calculator'!O69*'Bulk Calculator'!U69*((E790*'Bulk Calculator'!M69)+(F790*SQRT(1-'Bulk Calculator'!M69^2)))/'Bulk Calculator'!J69/'Bulk Calculator'!K69*100,D790*'Bulk Calculator'!U69*'Bulk Calculator'!O69/'Bulk Calculator'!J69/'Bulk Calculator'!K69*100),"")</f>
        <v>0</v>
      </c>
      <c r="K790">
        <f>IFERROR(G790*B790*'Bulk Calculator'!J69/SQRT('Bulk Calculator'!S69)/1000,"")</f>
        <v>15.987886039123497</v>
      </c>
      <c r="L790">
        <f>IF(OR('Bulk Calculator'!R69="",'Bulk Calculator'!S69="",G790=""),0,IF(K790&gt;='Bulk Calculator'!R69,1,0))</f>
        <v>1</v>
      </c>
      <c r="M790">
        <f>IF(AND(H790=1,I790&lt;='OS-DORAEN'!$B$6,J790&lt;='OS-DORAEN'!$B$5,L790=1),1,0)</f>
        <v>1</v>
      </c>
      <c r="N790" t="str">
        <f t="shared" si="12"/>
        <v>R/X</v>
      </c>
    </row>
    <row r="791" spans="1:14" ht="15" customHeight="1" x14ac:dyDescent="0.35">
      <c r="A791">
        <v>69</v>
      </c>
      <c r="B791">
        <v>35</v>
      </c>
      <c r="C791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Master'!$F:$F,B791),"")</f>
        <v>117</v>
      </c>
      <c r="D791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Master'!$F:$F,B791),"")</f>
        <v>1.1100000000000001</v>
      </c>
      <c r="E791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Master'!$F:$F,B791),"")</f>
        <v>1.1100000000000001</v>
      </c>
      <c r="F791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Master'!$F:$F,B791),"")</f>
        <v>0.08</v>
      </c>
      <c r="G791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Master'!$F:$F,B791),"")</f>
        <v>143</v>
      </c>
      <c r="H791">
        <f>IF(AND(ISNUMBER(C791),C791&gt;='Bulk Calculator'!U69/('Bulk Calculator'!J69*'Bulk Calculator'!L69)),1,0)</f>
        <v>1</v>
      </c>
      <c r="I791">
        <f>IFERROR(IF(AND(ISNUMBER(E791),ISNUMBER(F791),E791&gt;0,F791&gt;0),SQRT(3)*'Bulk Calculator'!O69*'Bulk Calculator'!AA69*((E791*'Bulk Calculator'!Q69)+(F791*SQRT(1-'Bulk Calculator'!Q69^2)))/'Bulk Calculator'!J69/'Bulk Calculator'!K69*100,D791*'Bulk Calculator'!AA69*'Bulk Calculator'!O69/'Bulk Calculator'!J69/'Bulk Calculator'!K69*100),"")</f>
        <v>0</v>
      </c>
      <c r="J791">
        <f>IFERROR(IF(AND(ISNUMBER(E791),ISNUMBER(F791),E791&gt;0,F791&gt;0),SQRT(3)*'Bulk Calculator'!O69*'Bulk Calculator'!U69*((E791*'Bulk Calculator'!M69)+(F791*SQRT(1-'Bulk Calculator'!M69^2)))/'Bulk Calculator'!J69/'Bulk Calculator'!K69*100,D791*'Bulk Calculator'!U69*'Bulk Calculator'!O69/'Bulk Calculator'!J69/'Bulk Calculator'!K69*100),"")</f>
        <v>0</v>
      </c>
      <c r="K791">
        <f>IFERROR(G791*B791*'Bulk Calculator'!J69/SQRT('Bulk Calculator'!S69)/1000,"")</f>
        <v>11.191520227386446</v>
      </c>
      <c r="L791">
        <f>IF(OR('Bulk Calculator'!R69="",'Bulk Calculator'!S69="",G791=""),0,IF(K791&gt;='Bulk Calculator'!R69,1,0))</f>
        <v>1</v>
      </c>
      <c r="M791">
        <f>IF(AND(H791=1,I791&lt;='OS-DORAEN'!$B$6,J791&lt;='OS-DORAEN'!$B$5,L791=1),1,0)</f>
        <v>1</v>
      </c>
      <c r="N791" t="str">
        <f t="shared" si="12"/>
        <v>R/X</v>
      </c>
    </row>
    <row r="792" spans="1:14" ht="15" customHeight="1" x14ac:dyDescent="0.35">
      <c r="A792">
        <v>69</v>
      </c>
      <c r="B792">
        <v>25</v>
      </c>
      <c r="C792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Master'!$F:$F,B792),"")</f>
        <v>96</v>
      </c>
      <c r="D792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Master'!$F:$F,B792),"")</f>
        <v>1.54</v>
      </c>
      <c r="E792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Master'!$F:$F,B792),"")</f>
        <v>1.54</v>
      </c>
      <c r="F792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Master'!$F:$F,B792),"")</f>
        <v>0.08</v>
      </c>
      <c r="G792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Master'!$F:$F,B792),"")</f>
        <v>143</v>
      </c>
      <c r="H792">
        <f>IF(AND(ISNUMBER(C792),C792&gt;='Bulk Calculator'!U69/('Bulk Calculator'!J69*'Bulk Calculator'!L69)),1,0)</f>
        <v>1</v>
      </c>
      <c r="I792">
        <f>IFERROR(IF(AND(ISNUMBER(E792),ISNUMBER(F792),E792&gt;0,F792&gt;0),SQRT(3)*'Bulk Calculator'!O69*'Bulk Calculator'!AA69*((E792*'Bulk Calculator'!Q69)+(F792*SQRT(1-'Bulk Calculator'!Q69^2)))/'Bulk Calculator'!J69/'Bulk Calculator'!K69*100,D792*'Bulk Calculator'!AA69*'Bulk Calculator'!O69/'Bulk Calculator'!J69/'Bulk Calculator'!K69*100),"")</f>
        <v>0</v>
      </c>
      <c r="J792">
        <f>IFERROR(IF(AND(ISNUMBER(E792),ISNUMBER(F792),E792&gt;0,F792&gt;0),SQRT(3)*'Bulk Calculator'!O69*'Bulk Calculator'!U69*((E792*'Bulk Calculator'!M69)+(F792*SQRT(1-'Bulk Calculator'!M69^2)))/'Bulk Calculator'!J69/'Bulk Calculator'!K69*100,D792*'Bulk Calculator'!U69*'Bulk Calculator'!O69/'Bulk Calculator'!J69/'Bulk Calculator'!K69*100),"")</f>
        <v>0</v>
      </c>
      <c r="K792">
        <f>IFERROR(G792*B792*'Bulk Calculator'!J69/SQRT('Bulk Calculator'!S69)/1000,"")</f>
        <v>7.9939430195617485</v>
      </c>
      <c r="L792">
        <f>IF(OR('Bulk Calculator'!R69="",'Bulk Calculator'!S69="",G792=""),0,IF(K792&gt;='Bulk Calculator'!R69,1,0))</f>
        <v>1</v>
      </c>
      <c r="M792">
        <f>IF(AND(H792=1,I792&lt;='OS-DORAEN'!$B$6,J792&lt;='OS-DORAEN'!$B$5,L792=1),1,0)</f>
        <v>1</v>
      </c>
      <c r="N792" t="str">
        <f t="shared" si="12"/>
        <v>R/X</v>
      </c>
    </row>
    <row r="793" spans="1:14" ht="15" customHeight="1" x14ac:dyDescent="0.35">
      <c r="A793">
        <v>69</v>
      </c>
      <c r="B793">
        <v>16</v>
      </c>
      <c r="C793">
        <f>IFERROR(SUMIFS('Cable Data Master'!$G:$G,'Cable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Master'!$F:$F,B793),"")</f>
        <v>0</v>
      </c>
      <c r="D793">
        <f>IFERROR(SUMIFS('Cable Data Master'!$K:$K,'Cable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Master'!$F:$F,B793),"")</f>
        <v>0</v>
      </c>
      <c r="E793">
        <f>IFERROR(SUMIFS('Cable Data Master'!$H:$H,'Cable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Master'!$F:$F,B793),"")</f>
        <v>0</v>
      </c>
      <c r="F793">
        <f>IFERROR(SUMIFS('Cable Data Master'!$I:$I,'Cable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Master'!$F:$F,B793),"")</f>
        <v>0</v>
      </c>
      <c r="G793">
        <f>IFERROR(SUMIFS('Cable Data Master'!$J:$J,'Cable Data Master'!$A:$A,'Bulk Calculator'!$BF69,'Cable Data Master'!$B:$B,'Bulk Calculator'!$BG69,'Cable Data Master'!$C:$C,'Bulk Calculator'!$BH69,'Cable Data Master'!$D:$D,'Bulk Calculator'!$BI69,'Cable Data Master'!$E:$E,'Bulk Calculator'!$BJ69,'Cable Data Master'!$F:$F,B793),"")</f>
        <v>0</v>
      </c>
      <c r="H793">
        <f>IF(AND(ISNUMBER(C793),C793&gt;='Bulk Calculator'!U69/('Bulk Calculator'!J69*'Bulk Calculator'!L69)),1,0)</f>
        <v>1</v>
      </c>
      <c r="I793">
        <f>IFERROR(IF(AND(ISNUMBER(E793),ISNUMBER(F793),E793&gt;0,F793&gt;0),SQRT(3)*'Bulk Calculator'!O69*'Bulk Calculator'!AA69*((E793*'Bulk Calculator'!Q69)+(F793*SQRT(1-'Bulk Calculator'!Q69^2)))/'Bulk Calculator'!J69/'Bulk Calculator'!K69*100,D793*'Bulk Calculator'!AA69*'Bulk Calculator'!O69/'Bulk Calculator'!J69/'Bulk Calculator'!K69*100),"")</f>
        <v>0</v>
      </c>
      <c r="J793">
        <f>IFERROR(IF(AND(ISNUMBER(E793),ISNUMBER(F793),E793&gt;0,F793&gt;0),SQRT(3)*'Bulk Calculator'!O69*'Bulk Calculator'!U69*((E793*'Bulk Calculator'!M69)+(F793*SQRT(1-'Bulk Calculator'!M69^2)))/'Bulk Calculator'!J69/'Bulk Calculator'!K69*100,D793*'Bulk Calculator'!U69*'Bulk Calculator'!O69/'Bulk Calculator'!J69/'Bulk Calculator'!K69*100),"")</f>
        <v>0</v>
      </c>
      <c r="K793">
        <f>IFERROR(G793*B793*'Bulk Calculator'!J69/SQRT('Bulk Calculator'!S69)/1000,"")</f>
        <v>0</v>
      </c>
      <c r="L793">
        <f>IF(OR('Bulk Calculator'!R69="",'Bulk Calculator'!S69="",G793=""),0,IF(K793&gt;='Bulk Calculator'!R69,1,0))</f>
        <v>1</v>
      </c>
      <c r="M793">
        <f>IF(AND(H793=1,I793&lt;='OS-DORAEN'!$B$6,J793&lt;='OS-DORAEN'!$B$5,L793=1),1,0)</f>
        <v>1</v>
      </c>
      <c r="N793" t="str">
        <f t="shared" si="12"/>
        <v>Manufacturer VD Ref</v>
      </c>
    </row>
    <row r="794" spans="1:14" ht="15" customHeight="1" x14ac:dyDescent="0.35">
      <c r="A794">
        <v>70</v>
      </c>
      <c r="B794">
        <v>400</v>
      </c>
      <c r="C794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Master'!$F:$F,B794),"")</f>
        <v>530</v>
      </c>
      <c r="D794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Master'!$F:$F,B794),"")</f>
        <v>0.1023</v>
      </c>
      <c r="E794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Master'!$F:$F,B794),"")</f>
        <v>0.1023</v>
      </c>
      <c r="F794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Master'!$F:$F,B794),"")</f>
        <v>7.0000000000000007E-2</v>
      </c>
      <c r="G794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Master'!$F:$F,B794),"")</f>
        <v>143</v>
      </c>
      <c r="H794">
        <f>IF(AND(ISNUMBER(C794),C794&gt;='Bulk Calculator'!U70/('Bulk Calculator'!J70*'Bulk Calculator'!L70)),1,0)</f>
        <v>1</v>
      </c>
      <c r="I794">
        <f>IFERROR(IF(AND(ISNUMBER(E794),ISNUMBER(F794),E794&gt;0,F794&gt;0),SQRT(3)*'Bulk Calculator'!O70*'Bulk Calculator'!AA70*((E794*'Bulk Calculator'!Q70)+(F794*SQRT(1-'Bulk Calculator'!Q70^2)))/'Bulk Calculator'!J70/'Bulk Calculator'!K70*100,D794*'Bulk Calculator'!AA70*'Bulk Calculator'!O70/'Bulk Calculator'!J70/'Bulk Calculator'!K70*100),"")</f>
        <v>0</v>
      </c>
      <c r="J794">
        <f>IFERROR(IF(AND(ISNUMBER(E794),ISNUMBER(F794),E794&gt;0,F794&gt;0),SQRT(3)*'Bulk Calculator'!O70*'Bulk Calculator'!U70*((E794*'Bulk Calculator'!M70)+(F794*SQRT(1-'Bulk Calculator'!M70^2)))/'Bulk Calculator'!J70/'Bulk Calculator'!K70*100,D794*'Bulk Calculator'!U70*'Bulk Calculator'!O70/'Bulk Calculator'!J70/'Bulk Calculator'!K70*100),"")</f>
        <v>0</v>
      </c>
      <c r="K794">
        <f>IFERROR(G794*B794*'Bulk Calculator'!J70/SQRT('Bulk Calculator'!S70)/1000,"")</f>
        <v>127.90308831298798</v>
      </c>
      <c r="L794">
        <f>IF(OR('Bulk Calculator'!R70="",'Bulk Calculator'!S70="",G794=""),0,IF(K794&gt;='Bulk Calculator'!R70,1,0))</f>
        <v>1</v>
      </c>
      <c r="M794">
        <f>IF(AND(H794=1,I794&lt;='OS-DORAEN'!$B$6,J794&lt;='OS-DORAEN'!$B$5,L794=1),1,0)</f>
        <v>1</v>
      </c>
      <c r="N794" t="str">
        <f t="shared" si="12"/>
        <v>R/X</v>
      </c>
    </row>
    <row r="795" spans="1:14" ht="15" customHeight="1" x14ac:dyDescent="0.35">
      <c r="A795">
        <v>70</v>
      </c>
      <c r="B795">
        <v>300</v>
      </c>
      <c r="C795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Master'!$F:$F,B795),"")</f>
        <v>455</v>
      </c>
      <c r="D795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Master'!$F:$F,B795),"")</f>
        <v>0.13</v>
      </c>
      <c r="E795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Master'!$F:$F,B795),"")</f>
        <v>0.13</v>
      </c>
      <c r="F795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Master'!$F:$F,B795),"")</f>
        <v>7.0999999999999994E-2</v>
      </c>
      <c r="G795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Master'!$F:$F,B795),"")</f>
        <v>143</v>
      </c>
      <c r="H795">
        <f>IF(AND(ISNUMBER(C795),C795&gt;='Bulk Calculator'!U70/('Bulk Calculator'!J70*'Bulk Calculator'!L70)),1,0)</f>
        <v>1</v>
      </c>
      <c r="I795">
        <f>IFERROR(IF(AND(ISNUMBER(E795),ISNUMBER(F795),E795&gt;0,F795&gt;0),SQRT(3)*'Bulk Calculator'!O70*'Bulk Calculator'!AA70*((E795*'Bulk Calculator'!Q70)+(F795*SQRT(1-'Bulk Calculator'!Q70^2)))/'Bulk Calculator'!J70/'Bulk Calculator'!K70*100,D795*'Bulk Calculator'!AA70*'Bulk Calculator'!O70/'Bulk Calculator'!J70/'Bulk Calculator'!K70*100),"")</f>
        <v>0</v>
      </c>
      <c r="J795">
        <f>IFERROR(IF(AND(ISNUMBER(E795),ISNUMBER(F795),E795&gt;0,F795&gt;0),SQRT(3)*'Bulk Calculator'!O70*'Bulk Calculator'!U70*((E795*'Bulk Calculator'!M70)+(F795*SQRT(1-'Bulk Calculator'!M70^2)))/'Bulk Calculator'!J70/'Bulk Calculator'!K70*100,D795*'Bulk Calculator'!U70*'Bulk Calculator'!O70/'Bulk Calculator'!J70/'Bulk Calculator'!K70*100),"")</f>
        <v>0</v>
      </c>
      <c r="K795">
        <f>IFERROR(G795*B795*'Bulk Calculator'!J70/SQRT('Bulk Calculator'!S70)/1000,"")</f>
        <v>95.927316234740985</v>
      </c>
      <c r="L795">
        <f>IF(OR('Bulk Calculator'!R70="",'Bulk Calculator'!S70="",G795=""),0,IF(K795&gt;='Bulk Calculator'!R70,1,0))</f>
        <v>1</v>
      </c>
      <c r="M795">
        <f>IF(AND(H795=1,I795&lt;='OS-DORAEN'!$B$6,J795&lt;='OS-DORAEN'!$B$5,L795=1),1,0)</f>
        <v>1</v>
      </c>
      <c r="N795" t="str">
        <f t="shared" si="12"/>
        <v>R/X</v>
      </c>
    </row>
    <row r="796" spans="1:14" ht="15" customHeight="1" x14ac:dyDescent="0.35">
      <c r="A796">
        <v>70</v>
      </c>
      <c r="B796">
        <v>240</v>
      </c>
      <c r="C796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Master'!$F:$F,B796),"")</f>
        <v>399</v>
      </c>
      <c r="D796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Master'!$F:$F,B796),"")</f>
        <v>0.16200000000000001</v>
      </c>
      <c r="E796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Master'!$F:$F,B796),"")</f>
        <v>0.16200000000000001</v>
      </c>
      <c r="F796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Master'!$F:$F,B796),"")</f>
        <v>7.1999999999999995E-2</v>
      </c>
      <c r="G796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Master'!$F:$F,B796),"")</f>
        <v>143</v>
      </c>
      <c r="H796">
        <f>IF(AND(ISNUMBER(C796),C796&gt;='Bulk Calculator'!U70/('Bulk Calculator'!J70*'Bulk Calculator'!L70)),1,0)</f>
        <v>1</v>
      </c>
      <c r="I796">
        <f>IFERROR(IF(AND(ISNUMBER(E796),ISNUMBER(F796),E796&gt;0,F796&gt;0),SQRT(3)*'Bulk Calculator'!O70*'Bulk Calculator'!AA70*((E796*'Bulk Calculator'!Q70)+(F796*SQRT(1-'Bulk Calculator'!Q70^2)))/'Bulk Calculator'!J70/'Bulk Calculator'!K70*100,D796*'Bulk Calculator'!AA70*'Bulk Calculator'!O70/'Bulk Calculator'!J70/'Bulk Calculator'!K70*100),"")</f>
        <v>0</v>
      </c>
      <c r="J796">
        <f>IFERROR(IF(AND(ISNUMBER(E796),ISNUMBER(F796),E796&gt;0,F796&gt;0),SQRT(3)*'Bulk Calculator'!O70*'Bulk Calculator'!U70*((E796*'Bulk Calculator'!M70)+(F796*SQRT(1-'Bulk Calculator'!M70^2)))/'Bulk Calculator'!J70/'Bulk Calculator'!K70*100,D796*'Bulk Calculator'!U70*'Bulk Calculator'!O70/'Bulk Calculator'!J70/'Bulk Calculator'!K70*100),"")</f>
        <v>0</v>
      </c>
      <c r="K796">
        <f>IFERROR(G796*B796*'Bulk Calculator'!J70/SQRT('Bulk Calculator'!S70)/1000,"")</f>
        <v>76.741852987792782</v>
      </c>
      <c r="L796">
        <f>IF(OR('Bulk Calculator'!R70="",'Bulk Calculator'!S70="",G796=""),0,IF(K796&gt;='Bulk Calculator'!R70,1,0))</f>
        <v>1</v>
      </c>
      <c r="M796">
        <f>IF(AND(H796=1,I796&lt;='OS-DORAEN'!$B$6,J796&lt;='OS-DORAEN'!$B$5,L796=1),1,0)</f>
        <v>1</v>
      </c>
      <c r="N796" t="str">
        <f t="shared" si="12"/>
        <v>R/X</v>
      </c>
    </row>
    <row r="797" spans="1:14" ht="15" customHeight="1" x14ac:dyDescent="0.35">
      <c r="A797">
        <v>70</v>
      </c>
      <c r="B797">
        <v>185</v>
      </c>
      <c r="C797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Master'!$F:$F,B797),"")</f>
        <v>337</v>
      </c>
      <c r="D797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Master'!$F:$F,B797),"")</f>
        <v>0.21099999999999999</v>
      </c>
      <c r="E797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Master'!$F:$F,B797),"")</f>
        <v>0.21099999999999999</v>
      </c>
      <c r="F797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Master'!$F:$F,B797),"")</f>
        <v>7.1999999999999995E-2</v>
      </c>
      <c r="G797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Master'!$F:$F,B797),"")</f>
        <v>143</v>
      </c>
      <c r="H797">
        <f>IF(AND(ISNUMBER(C797),C797&gt;='Bulk Calculator'!U70/('Bulk Calculator'!J70*'Bulk Calculator'!L70)),1,0)</f>
        <v>1</v>
      </c>
      <c r="I797">
        <f>IFERROR(IF(AND(ISNUMBER(E797),ISNUMBER(F797),E797&gt;0,F797&gt;0),SQRT(3)*'Bulk Calculator'!O70*'Bulk Calculator'!AA70*((E797*'Bulk Calculator'!Q70)+(F797*SQRT(1-'Bulk Calculator'!Q70^2)))/'Bulk Calculator'!J70/'Bulk Calculator'!K70*100,D797*'Bulk Calculator'!AA70*'Bulk Calculator'!O70/'Bulk Calculator'!J70/'Bulk Calculator'!K70*100),"")</f>
        <v>0</v>
      </c>
      <c r="J797">
        <f>IFERROR(IF(AND(ISNUMBER(E797),ISNUMBER(F797),E797&gt;0,F797&gt;0),SQRT(3)*'Bulk Calculator'!O70*'Bulk Calculator'!U70*((E797*'Bulk Calculator'!M70)+(F797*SQRT(1-'Bulk Calculator'!M70^2)))/'Bulk Calculator'!J70/'Bulk Calculator'!K70*100,D797*'Bulk Calculator'!U70*'Bulk Calculator'!O70/'Bulk Calculator'!J70/'Bulk Calculator'!K70*100),"")</f>
        <v>0</v>
      </c>
      <c r="K797">
        <f>IFERROR(G797*B797*'Bulk Calculator'!J70/SQRT('Bulk Calculator'!S70)/1000,"")</f>
        <v>59.155178344756941</v>
      </c>
      <c r="L797">
        <f>IF(OR('Bulk Calculator'!R70="",'Bulk Calculator'!S70="",G797=""),0,IF(K797&gt;='Bulk Calculator'!R70,1,0))</f>
        <v>1</v>
      </c>
      <c r="M797">
        <f>IF(AND(H797=1,I797&lt;='OS-DORAEN'!$B$6,J797&lt;='OS-DORAEN'!$B$5,L797=1),1,0)</f>
        <v>1</v>
      </c>
      <c r="N797" t="str">
        <f t="shared" si="12"/>
        <v>R/X</v>
      </c>
    </row>
    <row r="798" spans="1:14" ht="15" customHeight="1" x14ac:dyDescent="0.35">
      <c r="A798">
        <v>70</v>
      </c>
      <c r="B798">
        <v>150</v>
      </c>
      <c r="C798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Master'!$F:$F,B798),"")</f>
        <v>292</v>
      </c>
      <c r="D798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Master'!$F:$F,B798),"")</f>
        <v>0.26500000000000001</v>
      </c>
      <c r="E798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Master'!$F:$F,B798),"")</f>
        <v>0.26500000000000001</v>
      </c>
      <c r="F798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Master'!$F:$F,B798),"")</f>
        <v>7.1999999999999995E-2</v>
      </c>
      <c r="G798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Master'!$F:$F,B798),"")</f>
        <v>143</v>
      </c>
      <c r="H798">
        <f>IF(AND(ISNUMBER(C798),C798&gt;='Bulk Calculator'!U70/('Bulk Calculator'!J70*'Bulk Calculator'!L70)),1,0)</f>
        <v>1</v>
      </c>
      <c r="I798">
        <f>IFERROR(IF(AND(ISNUMBER(E798),ISNUMBER(F798),E798&gt;0,F798&gt;0),SQRT(3)*'Bulk Calculator'!O70*'Bulk Calculator'!AA70*((E798*'Bulk Calculator'!Q70)+(F798*SQRT(1-'Bulk Calculator'!Q70^2)))/'Bulk Calculator'!J70/'Bulk Calculator'!K70*100,D798*'Bulk Calculator'!AA70*'Bulk Calculator'!O70/'Bulk Calculator'!J70/'Bulk Calculator'!K70*100),"")</f>
        <v>0</v>
      </c>
      <c r="J798">
        <f>IFERROR(IF(AND(ISNUMBER(E798),ISNUMBER(F798),E798&gt;0,F798&gt;0),SQRT(3)*'Bulk Calculator'!O70*'Bulk Calculator'!U70*((E798*'Bulk Calculator'!M70)+(F798*SQRT(1-'Bulk Calculator'!M70^2)))/'Bulk Calculator'!J70/'Bulk Calculator'!K70*100,D798*'Bulk Calculator'!U70*'Bulk Calculator'!O70/'Bulk Calculator'!J70/'Bulk Calculator'!K70*100),"")</f>
        <v>0</v>
      </c>
      <c r="K798">
        <f>IFERROR(G798*B798*'Bulk Calculator'!J70/SQRT('Bulk Calculator'!S70)/1000,"")</f>
        <v>47.963658117370493</v>
      </c>
      <c r="L798">
        <f>IF(OR('Bulk Calculator'!R70="",'Bulk Calculator'!S70="",G798=""),0,IF(K798&gt;='Bulk Calculator'!R70,1,0))</f>
        <v>1</v>
      </c>
      <c r="M798">
        <f>IF(AND(H798=1,I798&lt;='OS-DORAEN'!$B$6,J798&lt;='OS-DORAEN'!$B$5,L798=1),1,0)</f>
        <v>1</v>
      </c>
      <c r="N798" t="str">
        <f t="shared" si="12"/>
        <v>R/X</v>
      </c>
    </row>
    <row r="799" spans="1:14" ht="15" customHeight="1" x14ac:dyDescent="0.35">
      <c r="A799">
        <v>70</v>
      </c>
      <c r="B799">
        <v>120</v>
      </c>
      <c r="C799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Master'!$F:$F,B799),"")</f>
        <v>257</v>
      </c>
      <c r="D799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Master'!$F:$F,B799),"")</f>
        <v>0.32500000000000001</v>
      </c>
      <c r="E799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Master'!$F:$F,B799),"")</f>
        <v>0.32500000000000001</v>
      </c>
      <c r="F799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Master'!$F:$F,B799),"")</f>
        <v>7.1999999999999995E-2</v>
      </c>
      <c r="G799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Master'!$F:$F,B799),"")</f>
        <v>143</v>
      </c>
      <c r="H799">
        <f>IF(AND(ISNUMBER(C799),C799&gt;='Bulk Calculator'!U70/('Bulk Calculator'!J70*'Bulk Calculator'!L70)),1,0)</f>
        <v>1</v>
      </c>
      <c r="I799">
        <f>IFERROR(IF(AND(ISNUMBER(E799),ISNUMBER(F799),E799&gt;0,F799&gt;0),SQRT(3)*'Bulk Calculator'!O70*'Bulk Calculator'!AA70*((E799*'Bulk Calculator'!Q70)+(F799*SQRT(1-'Bulk Calculator'!Q70^2)))/'Bulk Calculator'!J70/'Bulk Calculator'!K70*100,D799*'Bulk Calculator'!AA70*'Bulk Calculator'!O70/'Bulk Calculator'!J70/'Bulk Calculator'!K70*100),"")</f>
        <v>0</v>
      </c>
      <c r="J799">
        <f>IFERROR(IF(AND(ISNUMBER(E799),ISNUMBER(F799),E799&gt;0,F799&gt;0),SQRT(3)*'Bulk Calculator'!O70*'Bulk Calculator'!U70*((E799*'Bulk Calculator'!M70)+(F799*SQRT(1-'Bulk Calculator'!M70^2)))/'Bulk Calculator'!J70/'Bulk Calculator'!K70*100,D799*'Bulk Calculator'!U70*'Bulk Calculator'!O70/'Bulk Calculator'!J70/'Bulk Calculator'!K70*100),"")</f>
        <v>0</v>
      </c>
      <c r="K799">
        <f>IFERROR(G799*B799*'Bulk Calculator'!J70/SQRT('Bulk Calculator'!S70)/1000,"")</f>
        <v>38.370926493896391</v>
      </c>
      <c r="L799">
        <f>IF(OR('Bulk Calculator'!R70="",'Bulk Calculator'!S70="",G799=""),0,IF(K799&gt;='Bulk Calculator'!R70,1,0))</f>
        <v>1</v>
      </c>
      <c r="M799">
        <f>IF(AND(H799=1,I799&lt;='OS-DORAEN'!$B$6,J799&lt;='OS-DORAEN'!$B$5,L799=1),1,0)</f>
        <v>1</v>
      </c>
      <c r="N799" t="str">
        <f t="shared" si="12"/>
        <v>R/X</v>
      </c>
    </row>
    <row r="800" spans="1:14" ht="15" customHeight="1" x14ac:dyDescent="0.35">
      <c r="A800">
        <v>70</v>
      </c>
      <c r="B800">
        <v>95</v>
      </c>
      <c r="C800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Master'!$F:$F,B800),"")</f>
        <v>221</v>
      </c>
      <c r="D800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Master'!$F:$F,B800),"")</f>
        <v>0.41</v>
      </c>
      <c r="E800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Master'!$F:$F,B800),"")</f>
        <v>0.41</v>
      </c>
      <c r="F800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Master'!$F:$F,B800),"")</f>
        <v>7.3999999999999996E-2</v>
      </c>
      <c r="G800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Master'!$F:$F,B800),"")</f>
        <v>143</v>
      </c>
      <c r="H800">
        <f>IF(AND(ISNUMBER(C800),C800&gt;='Bulk Calculator'!U70/('Bulk Calculator'!J70*'Bulk Calculator'!L70)),1,0)</f>
        <v>1</v>
      </c>
      <c r="I800">
        <f>IFERROR(IF(AND(ISNUMBER(E800),ISNUMBER(F800),E800&gt;0,F800&gt;0),SQRT(3)*'Bulk Calculator'!O70*'Bulk Calculator'!AA70*((E800*'Bulk Calculator'!Q70)+(F800*SQRT(1-'Bulk Calculator'!Q70^2)))/'Bulk Calculator'!J70/'Bulk Calculator'!K70*100,D800*'Bulk Calculator'!AA70*'Bulk Calculator'!O70/'Bulk Calculator'!J70/'Bulk Calculator'!K70*100),"")</f>
        <v>0</v>
      </c>
      <c r="J800">
        <f>IFERROR(IF(AND(ISNUMBER(E800),ISNUMBER(F800),E800&gt;0,F800&gt;0),SQRT(3)*'Bulk Calculator'!O70*'Bulk Calculator'!U70*((E800*'Bulk Calculator'!M70)+(F800*SQRT(1-'Bulk Calculator'!M70^2)))/'Bulk Calculator'!J70/'Bulk Calculator'!K70*100,D800*'Bulk Calculator'!U70*'Bulk Calculator'!O70/'Bulk Calculator'!J70/'Bulk Calculator'!K70*100),"")</f>
        <v>0</v>
      </c>
      <c r="K800">
        <f>IFERROR(G800*B800*'Bulk Calculator'!J70/SQRT('Bulk Calculator'!S70)/1000,"")</f>
        <v>30.376983474334644</v>
      </c>
      <c r="L800">
        <f>IF(OR('Bulk Calculator'!R70="",'Bulk Calculator'!S70="",G800=""),0,IF(K800&gt;='Bulk Calculator'!R70,1,0))</f>
        <v>1</v>
      </c>
      <c r="M800">
        <f>IF(AND(H800=1,I800&lt;='OS-DORAEN'!$B$6,J800&lt;='OS-DORAEN'!$B$5,L800=1),1,0)</f>
        <v>1</v>
      </c>
      <c r="N800" t="str">
        <f t="shared" si="12"/>
        <v>R/X</v>
      </c>
    </row>
    <row r="801" spans="1:14" ht="15" customHeight="1" x14ac:dyDescent="0.35">
      <c r="A801">
        <v>70</v>
      </c>
      <c r="B801">
        <v>70</v>
      </c>
      <c r="C801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Master'!$F:$F,B801),"")</f>
        <v>179</v>
      </c>
      <c r="D801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Master'!$F:$F,B801),"")</f>
        <v>0.56699999999999995</v>
      </c>
      <c r="E801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Master'!$F:$F,B801),"")</f>
        <v>0.56699999999999995</v>
      </c>
      <c r="F801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Master'!$F:$F,B801),"")</f>
        <v>7.6999999999999999E-2</v>
      </c>
      <c r="G801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Master'!$F:$F,B801),"")</f>
        <v>143</v>
      </c>
      <c r="H801">
        <f>IF(AND(ISNUMBER(C801),C801&gt;='Bulk Calculator'!U70/('Bulk Calculator'!J70*'Bulk Calculator'!L70)),1,0)</f>
        <v>1</v>
      </c>
      <c r="I801">
        <f>IFERROR(IF(AND(ISNUMBER(E801),ISNUMBER(F801),E801&gt;0,F801&gt;0),SQRT(3)*'Bulk Calculator'!O70*'Bulk Calculator'!AA70*((E801*'Bulk Calculator'!Q70)+(F801*SQRT(1-'Bulk Calculator'!Q70^2)))/'Bulk Calculator'!J70/'Bulk Calculator'!K70*100,D801*'Bulk Calculator'!AA70*'Bulk Calculator'!O70/'Bulk Calculator'!J70/'Bulk Calculator'!K70*100),"")</f>
        <v>0</v>
      </c>
      <c r="J801">
        <f>IFERROR(IF(AND(ISNUMBER(E801),ISNUMBER(F801),E801&gt;0,F801&gt;0),SQRT(3)*'Bulk Calculator'!O70*'Bulk Calculator'!U70*((E801*'Bulk Calculator'!M70)+(F801*SQRT(1-'Bulk Calculator'!M70^2)))/'Bulk Calculator'!J70/'Bulk Calculator'!K70*100,D801*'Bulk Calculator'!U70*'Bulk Calculator'!O70/'Bulk Calculator'!J70/'Bulk Calculator'!K70*100),"")</f>
        <v>0</v>
      </c>
      <c r="K801">
        <f>IFERROR(G801*B801*'Bulk Calculator'!J70/SQRT('Bulk Calculator'!S70)/1000,"")</f>
        <v>22.383040454772893</v>
      </c>
      <c r="L801">
        <f>IF(OR('Bulk Calculator'!R70="",'Bulk Calculator'!S70="",G801=""),0,IF(K801&gt;='Bulk Calculator'!R70,1,0))</f>
        <v>1</v>
      </c>
      <c r="M801">
        <f>IF(AND(H801=1,I801&lt;='OS-DORAEN'!$B$6,J801&lt;='OS-DORAEN'!$B$5,L801=1),1,0)</f>
        <v>1</v>
      </c>
      <c r="N801" t="str">
        <f t="shared" si="12"/>
        <v>R/X</v>
      </c>
    </row>
    <row r="802" spans="1:14" ht="15" customHeight="1" x14ac:dyDescent="0.35">
      <c r="A802">
        <v>70</v>
      </c>
      <c r="B802">
        <v>50</v>
      </c>
      <c r="C802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Master'!$F:$F,B802),"")</f>
        <v>142</v>
      </c>
      <c r="D802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Master'!$F:$F,B802),"")</f>
        <v>0.82</v>
      </c>
      <c r="E802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Master'!$F:$F,B802),"")</f>
        <v>0.82</v>
      </c>
      <c r="F802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Master'!$F:$F,B802),"")</f>
        <v>7.8E-2</v>
      </c>
      <c r="G802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Master'!$F:$F,B802),"")</f>
        <v>143</v>
      </c>
      <c r="H802">
        <f>IF(AND(ISNUMBER(C802),C802&gt;='Bulk Calculator'!U70/('Bulk Calculator'!J70*'Bulk Calculator'!L70)),1,0)</f>
        <v>1</v>
      </c>
      <c r="I802">
        <f>IFERROR(IF(AND(ISNUMBER(E802),ISNUMBER(F802),E802&gt;0,F802&gt;0),SQRT(3)*'Bulk Calculator'!O70*'Bulk Calculator'!AA70*((E802*'Bulk Calculator'!Q70)+(F802*SQRT(1-'Bulk Calculator'!Q70^2)))/'Bulk Calculator'!J70/'Bulk Calculator'!K70*100,D802*'Bulk Calculator'!AA70*'Bulk Calculator'!O70/'Bulk Calculator'!J70/'Bulk Calculator'!K70*100),"")</f>
        <v>0</v>
      </c>
      <c r="J802">
        <f>IFERROR(IF(AND(ISNUMBER(E802),ISNUMBER(F802),E802&gt;0,F802&gt;0),SQRT(3)*'Bulk Calculator'!O70*'Bulk Calculator'!U70*((E802*'Bulk Calculator'!M70)+(F802*SQRT(1-'Bulk Calculator'!M70^2)))/'Bulk Calculator'!J70/'Bulk Calculator'!K70*100,D802*'Bulk Calculator'!U70*'Bulk Calculator'!O70/'Bulk Calculator'!J70/'Bulk Calculator'!K70*100),"")</f>
        <v>0</v>
      </c>
      <c r="K802">
        <f>IFERROR(G802*B802*'Bulk Calculator'!J70/SQRT('Bulk Calculator'!S70)/1000,"")</f>
        <v>15.987886039123497</v>
      </c>
      <c r="L802">
        <f>IF(OR('Bulk Calculator'!R70="",'Bulk Calculator'!S70="",G802=""),0,IF(K802&gt;='Bulk Calculator'!R70,1,0))</f>
        <v>1</v>
      </c>
      <c r="M802">
        <f>IF(AND(H802=1,I802&lt;='OS-DORAEN'!$B$6,J802&lt;='OS-DORAEN'!$B$5,L802=1),1,0)</f>
        <v>1</v>
      </c>
      <c r="N802" t="str">
        <f t="shared" si="12"/>
        <v>R/X</v>
      </c>
    </row>
    <row r="803" spans="1:14" ht="15" customHeight="1" x14ac:dyDescent="0.35">
      <c r="A803">
        <v>70</v>
      </c>
      <c r="B803">
        <v>35</v>
      </c>
      <c r="C803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Master'!$F:$F,B803),"")</f>
        <v>117</v>
      </c>
      <c r="D803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Master'!$F:$F,B803),"")</f>
        <v>1.1100000000000001</v>
      </c>
      <c r="E803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Master'!$F:$F,B803),"")</f>
        <v>1.1100000000000001</v>
      </c>
      <c r="F803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Master'!$F:$F,B803),"")</f>
        <v>0.08</v>
      </c>
      <c r="G803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Master'!$F:$F,B803),"")</f>
        <v>143</v>
      </c>
      <c r="H803">
        <f>IF(AND(ISNUMBER(C803),C803&gt;='Bulk Calculator'!U70/('Bulk Calculator'!J70*'Bulk Calculator'!L70)),1,0)</f>
        <v>1</v>
      </c>
      <c r="I803">
        <f>IFERROR(IF(AND(ISNUMBER(E803),ISNUMBER(F803),E803&gt;0,F803&gt;0),SQRT(3)*'Bulk Calculator'!O70*'Bulk Calculator'!AA70*((E803*'Bulk Calculator'!Q70)+(F803*SQRT(1-'Bulk Calculator'!Q70^2)))/'Bulk Calculator'!J70/'Bulk Calculator'!K70*100,D803*'Bulk Calculator'!AA70*'Bulk Calculator'!O70/'Bulk Calculator'!J70/'Bulk Calculator'!K70*100),"")</f>
        <v>0</v>
      </c>
      <c r="J803">
        <f>IFERROR(IF(AND(ISNUMBER(E803),ISNUMBER(F803),E803&gt;0,F803&gt;0),SQRT(3)*'Bulk Calculator'!O70*'Bulk Calculator'!U70*((E803*'Bulk Calculator'!M70)+(F803*SQRT(1-'Bulk Calculator'!M70^2)))/'Bulk Calculator'!J70/'Bulk Calculator'!K70*100,D803*'Bulk Calculator'!U70*'Bulk Calculator'!O70/'Bulk Calculator'!J70/'Bulk Calculator'!K70*100),"")</f>
        <v>0</v>
      </c>
      <c r="K803">
        <f>IFERROR(G803*B803*'Bulk Calculator'!J70/SQRT('Bulk Calculator'!S70)/1000,"")</f>
        <v>11.191520227386446</v>
      </c>
      <c r="L803">
        <f>IF(OR('Bulk Calculator'!R70="",'Bulk Calculator'!S70="",G803=""),0,IF(K803&gt;='Bulk Calculator'!R70,1,0))</f>
        <v>1</v>
      </c>
      <c r="M803">
        <f>IF(AND(H803=1,I803&lt;='OS-DORAEN'!$B$6,J803&lt;='OS-DORAEN'!$B$5,L803=1),1,0)</f>
        <v>1</v>
      </c>
      <c r="N803" t="str">
        <f t="shared" si="12"/>
        <v>R/X</v>
      </c>
    </row>
    <row r="804" spans="1:14" ht="15" customHeight="1" x14ac:dyDescent="0.35">
      <c r="A804">
        <v>70</v>
      </c>
      <c r="B804">
        <v>25</v>
      </c>
      <c r="C804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Master'!$F:$F,B804),"")</f>
        <v>96</v>
      </c>
      <c r="D804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Master'!$F:$F,B804),"")</f>
        <v>1.54</v>
      </c>
      <c r="E804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Master'!$F:$F,B804),"")</f>
        <v>1.54</v>
      </c>
      <c r="F804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Master'!$F:$F,B804),"")</f>
        <v>0.08</v>
      </c>
      <c r="G804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Master'!$F:$F,B804),"")</f>
        <v>143</v>
      </c>
      <c r="H804">
        <f>IF(AND(ISNUMBER(C804),C804&gt;='Bulk Calculator'!U70/('Bulk Calculator'!J70*'Bulk Calculator'!L70)),1,0)</f>
        <v>1</v>
      </c>
      <c r="I804">
        <f>IFERROR(IF(AND(ISNUMBER(E804),ISNUMBER(F804),E804&gt;0,F804&gt;0),SQRT(3)*'Bulk Calculator'!O70*'Bulk Calculator'!AA70*((E804*'Bulk Calculator'!Q70)+(F804*SQRT(1-'Bulk Calculator'!Q70^2)))/'Bulk Calculator'!J70/'Bulk Calculator'!K70*100,D804*'Bulk Calculator'!AA70*'Bulk Calculator'!O70/'Bulk Calculator'!J70/'Bulk Calculator'!K70*100),"")</f>
        <v>0</v>
      </c>
      <c r="J804">
        <f>IFERROR(IF(AND(ISNUMBER(E804),ISNUMBER(F804),E804&gt;0,F804&gt;0),SQRT(3)*'Bulk Calculator'!O70*'Bulk Calculator'!U70*((E804*'Bulk Calculator'!M70)+(F804*SQRT(1-'Bulk Calculator'!M70^2)))/'Bulk Calculator'!J70/'Bulk Calculator'!K70*100,D804*'Bulk Calculator'!U70*'Bulk Calculator'!O70/'Bulk Calculator'!J70/'Bulk Calculator'!K70*100),"")</f>
        <v>0</v>
      </c>
      <c r="K804">
        <f>IFERROR(G804*B804*'Bulk Calculator'!J70/SQRT('Bulk Calculator'!S70)/1000,"")</f>
        <v>7.9939430195617485</v>
      </c>
      <c r="L804">
        <f>IF(OR('Bulk Calculator'!R70="",'Bulk Calculator'!S70="",G804=""),0,IF(K804&gt;='Bulk Calculator'!R70,1,0))</f>
        <v>1</v>
      </c>
      <c r="M804">
        <f>IF(AND(H804=1,I804&lt;='OS-DORAEN'!$B$6,J804&lt;='OS-DORAEN'!$B$5,L804=1),1,0)</f>
        <v>1</v>
      </c>
      <c r="N804" t="str">
        <f t="shared" si="12"/>
        <v>R/X</v>
      </c>
    </row>
    <row r="805" spans="1:14" ht="15" customHeight="1" x14ac:dyDescent="0.35">
      <c r="A805">
        <v>70</v>
      </c>
      <c r="B805">
        <v>16</v>
      </c>
      <c r="C805">
        <f>IFERROR(SUMIFS('Cable Data Master'!$G:$G,'Cable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Master'!$F:$F,B805),"")</f>
        <v>0</v>
      </c>
      <c r="D805">
        <f>IFERROR(SUMIFS('Cable Data Master'!$K:$K,'Cable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Master'!$F:$F,B805),"")</f>
        <v>0</v>
      </c>
      <c r="E805">
        <f>IFERROR(SUMIFS('Cable Data Master'!$H:$H,'Cable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Master'!$F:$F,B805),"")</f>
        <v>0</v>
      </c>
      <c r="F805">
        <f>IFERROR(SUMIFS('Cable Data Master'!$I:$I,'Cable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Master'!$F:$F,B805),"")</f>
        <v>0</v>
      </c>
      <c r="G805">
        <f>IFERROR(SUMIFS('Cable Data Master'!$J:$J,'Cable Data Master'!$A:$A,'Bulk Calculator'!$BF70,'Cable Data Master'!$B:$B,'Bulk Calculator'!$BG70,'Cable Data Master'!$C:$C,'Bulk Calculator'!$BH70,'Cable Data Master'!$D:$D,'Bulk Calculator'!$BI70,'Cable Data Master'!$E:$E,'Bulk Calculator'!$BJ70,'Cable Data Master'!$F:$F,B805),"")</f>
        <v>0</v>
      </c>
      <c r="H805">
        <f>IF(AND(ISNUMBER(C805),C805&gt;='Bulk Calculator'!U70/('Bulk Calculator'!J70*'Bulk Calculator'!L70)),1,0)</f>
        <v>1</v>
      </c>
      <c r="I805">
        <f>IFERROR(IF(AND(ISNUMBER(E805),ISNUMBER(F805),E805&gt;0,F805&gt;0),SQRT(3)*'Bulk Calculator'!O70*'Bulk Calculator'!AA70*((E805*'Bulk Calculator'!Q70)+(F805*SQRT(1-'Bulk Calculator'!Q70^2)))/'Bulk Calculator'!J70/'Bulk Calculator'!K70*100,D805*'Bulk Calculator'!AA70*'Bulk Calculator'!O70/'Bulk Calculator'!J70/'Bulk Calculator'!K70*100),"")</f>
        <v>0</v>
      </c>
      <c r="J805">
        <f>IFERROR(IF(AND(ISNUMBER(E805),ISNUMBER(F805),E805&gt;0,F805&gt;0),SQRT(3)*'Bulk Calculator'!O70*'Bulk Calculator'!U70*((E805*'Bulk Calculator'!M70)+(F805*SQRT(1-'Bulk Calculator'!M70^2)))/'Bulk Calculator'!J70/'Bulk Calculator'!K70*100,D805*'Bulk Calculator'!U70*'Bulk Calculator'!O70/'Bulk Calculator'!J70/'Bulk Calculator'!K70*100),"")</f>
        <v>0</v>
      </c>
      <c r="K805">
        <f>IFERROR(G805*B805*'Bulk Calculator'!J70/SQRT('Bulk Calculator'!S70)/1000,"")</f>
        <v>0</v>
      </c>
      <c r="L805">
        <f>IF(OR('Bulk Calculator'!R70="",'Bulk Calculator'!S70="",G805=""),0,IF(K805&gt;='Bulk Calculator'!R70,1,0))</f>
        <v>1</v>
      </c>
      <c r="M805">
        <f>IF(AND(H805=1,I805&lt;='OS-DORAEN'!$B$6,J805&lt;='OS-DORAEN'!$B$5,L805=1),1,0)</f>
        <v>1</v>
      </c>
      <c r="N805" t="str">
        <f t="shared" si="12"/>
        <v>Manufacturer VD Ref</v>
      </c>
    </row>
    <row r="806" spans="1:14" ht="15" customHeight="1" x14ac:dyDescent="0.35">
      <c r="A806">
        <v>71</v>
      </c>
      <c r="B806">
        <v>400</v>
      </c>
      <c r="C806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Master'!$F:$F,B806),"")</f>
        <v>530</v>
      </c>
      <c r="D806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Master'!$F:$F,B806),"")</f>
        <v>0.1023</v>
      </c>
      <c r="E806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Master'!$F:$F,B806),"")</f>
        <v>0.1023</v>
      </c>
      <c r="F806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Master'!$F:$F,B806),"")</f>
        <v>7.0000000000000007E-2</v>
      </c>
      <c r="G806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Master'!$F:$F,B806),"")</f>
        <v>143</v>
      </c>
      <c r="H806">
        <f>IF(AND(ISNUMBER(C806),C806&gt;='Bulk Calculator'!U71/('Bulk Calculator'!J71*'Bulk Calculator'!L71)),1,0)</f>
        <v>1</v>
      </c>
      <c r="I806">
        <f>IFERROR(IF(AND(ISNUMBER(E806),ISNUMBER(F806),E806&gt;0,F806&gt;0),SQRT(3)*'Bulk Calculator'!O71*'Bulk Calculator'!AA71*((E806*'Bulk Calculator'!Q71)+(F806*SQRT(1-'Bulk Calculator'!Q71^2)))/'Bulk Calculator'!J71/'Bulk Calculator'!K71*100,D806*'Bulk Calculator'!AA71*'Bulk Calculator'!O71/'Bulk Calculator'!J71/'Bulk Calculator'!K71*100),"")</f>
        <v>0</v>
      </c>
      <c r="J806">
        <f>IFERROR(IF(AND(ISNUMBER(E806),ISNUMBER(F806),E806&gt;0,F806&gt;0),SQRT(3)*'Bulk Calculator'!O71*'Bulk Calculator'!U71*((E806*'Bulk Calculator'!M71)+(F806*SQRT(1-'Bulk Calculator'!M71^2)))/'Bulk Calculator'!J71/'Bulk Calculator'!K71*100,D806*'Bulk Calculator'!U71*'Bulk Calculator'!O71/'Bulk Calculator'!J71/'Bulk Calculator'!K71*100),"")</f>
        <v>0</v>
      </c>
      <c r="K806">
        <f>IFERROR(G806*B806*'Bulk Calculator'!J71/SQRT('Bulk Calculator'!S71)/1000,"")</f>
        <v>127.90308831298798</v>
      </c>
      <c r="L806">
        <f>IF(OR('Bulk Calculator'!R71="",'Bulk Calculator'!S71="",G806=""),0,IF(K806&gt;='Bulk Calculator'!R71,1,0))</f>
        <v>1</v>
      </c>
      <c r="M806">
        <f>IF(AND(H806=1,I806&lt;='OS-DORAEN'!$B$6,J806&lt;='OS-DORAEN'!$B$5,L806=1),1,0)</f>
        <v>1</v>
      </c>
      <c r="N806" t="str">
        <f t="shared" si="12"/>
        <v>R/X</v>
      </c>
    </row>
    <row r="807" spans="1:14" ht="15" customHeight="1" x14ac:dyDescent="0.35">
      <c r="A807">
        <v>71</v>
      </c>
      <c r="B807">
        <v>300</v>
      </c>
      <c r="C807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Master'!$F:$F,B807),"")</f>
        <v>455</v>
      </c>
      <c r="D807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Master'!$F:$F,B807),"")</f>
        <v>0.13</v>
      </c>
      <c r="E807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Master'!$F:$F,B807),"")</f>
        <v>0.13</v>
      </c>
      <c r="F807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Master'!$F:$F,B807),"")</f>
        <v>7.0999999999999994E-2</v>
      </c>
      <c r="G807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Master'!$F:$F,B807),"")</f>
        <v>143</v>
      </c>
      <c r="H807">
        <f>IF(AND(ISNUMBER(C807),C807&gt;='Bulk Calculator'!U71/('Bulk Calculator'!J71*'Bulk Calculator'!L71)),1,0)</f>
        <v>1</v>
      </c>
      <c r="I807">
        <f>IFERROR(IF(AND(ISNUMBER(E807),ISNUMBER(F807),E807&gt;0,F807&gt;0),SQRT(3)*'Bulk Calculator'!O71*'Bulk Calculator'!AA71*((E807*'Bulk Calculator'!Q71)+(F807*SQRT(1-'Bulk Calculator'!Q71^2)))/'Bulk Calculator'!J71/'Bulk Calculator'!K71*100,D807*'Bulk Calculator'!AA71*'Bulk Calculator'!O71/'Bulk Calculator'!J71/'Bulk Calculator'!K71*100),"")</f>
        <v>0</v>
      </c>
      <c r="J807">
        <f>IFERROR(IF(AND(ISNUMBER(E807),ISNUMBER(F807),E807&gt;0,F807&gt;0),SQRT(3)*'Bulk Calculator'!O71*'Bulk Calculator'!U71*((E807*'Bulk Calculator'!M71)+(F807*SQRT(1-'Bulk Calculator'!M71^2)))/'Bulk Calculator'!J71/'Bulk Calculator'!K71*100,D807*'Bulk Calculator'!U71*'Bulk Calculator'!O71/'Bulk Calculator'!J71/'Bulk Calculator'!K71*100),"")</f>
        <v>0</v>
      </c>
      <c r="K807">
        <f>IFERROR(G807*B807*'Bulk Calculator'!J71/SQRT('Bulk Calculator'!S71)/1000,"")</f>
        <v>95.927316234740985</v>
      </c>
      <c r="L807">
        <f>IF(OR('Bulk Calculator'!R71="",'Bulk Calculator'!S71="",G807=""),0,IF(K807&gt;='Bulk Calculator'!R71,1,0))</f>
        <v>1</v>
      </c>
      <c r="M807">
        <f>IF(AND(H807=1,I807&lt;='OS-DORAEN'!$B$6,J807&lt;='OS-DORAEN'!$B$5,L807=1),1,0)</f>
        <v>1</v>
      </c>
      <c r="N807" t="str">
        <f t="shared" si="12"/>
        <v>R/X</v>
      </c>
    </row>
    <row r="808" spans="1:14" ht="15" customHeight="1" x14ac:dyDescent="0.35">
      <c r="A808">
        <v>71</v>
      </c>
      <c r="B808">
        <v>240</v>
      </c>
      <c r="C808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Master'!$F:$F,B808),"")</f>
        <v>399</v>
      </c>
      <c r="D808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Master'!$F:$F,B808),"")</f>
        <v>0.16200000000000001</v>
      </c>
      <c r="E808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Master'!$F:$F,B808),"")</f>
        <v>0.16200000000000001</v>
      </c>
      <c r="F808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Master'!$F:$F,B808),"")</f>
        <v>7.1999999999999995E-2</v>
      </c>
      <c r="G808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Master'!$F:$F,B808),"")</f>
        <v>143</v>
      </c>
      <c r="H808">
        <f>IF(AND(ISNUMBER(C808),C808&gt;='Bulk Calculator'!U71/('Bulk Calculator'!J71*'Bulk Calculator'!L71)),1,0)</f>
        <v>1</v>
      </c>
      <c r="I808">
        <f>IFERROR(IF(AND(ISNUMBER(E808),ISNUMBER(F808),E808&gt;0,F808&gt;0),SQRT(3)*'Bulk Calculator'!O71*'Bulk Calculator'!AA71*((E808*'Bulk Calculator'!Q71)+(F808*SQRT(1-'Bulk Calculator'!Q71^2)))/'Bulk Calculator'!J71/'Bulk Calculator'!K71*100,D808*'Bulk Calculator'!AA71*'Bulk Calculator'!O71/'Bulk Calculator'!J71/'Bulk Calculator'!K71*100),"")</f>
        <v>0</v>
      </c>
      <c r="J808">
        <f>IFERROR(IF(AND(ISNUMBER(E808),ISNUMBER(F808),E808&gt;0,F808&gt;0),SQRT(3)*'Bulk Calculator'!O71*'Bulk Calculator'!U71*((E808*'Bulk Calculator'!M71)+(F808*SQRT(1-'Bulk Calculator'!M71^2)))/'Bulk Calculator'!J71/'Bulk Calculator'!K71*100,D808*'Bulk Calculator'!U71*'Bulk Calculator'!O71/'Bulk Calculator'!J71/'Bulk Calculator'!K71*100),"")</f>
        <v>0</v>
      </c>
      <c r="K808">
        <f>IFERROR(G808*B808*'Bulk Calculator'!J71/SQRT('Bulk Calculator'!S71)/1000,"")</f>
        <v>76.741852987792782</v>
      </c>
      <c r="L808">
        <f>IF(OR('Bulk Calculator'!R71="",'Bulk Calculator'!S71="",G808=""),0,IF(K808&gt;='Bulk Calculator'!R71,1,0))</f>
        <v>1</v>
      </c>
      <c r="M808">
        <f>IF(AND(H808=1,I808&lt;='OS-DORAEN'!$B$6,J808&lt;='OS-DORAEN'!$B$5,L808=1),1,0)</f>
        <v>1</v>
      </c>
      <c r="N808" t="str">
        <f t="shared" si="12"/>
        <v>R/X</v>
      </c>
    </row>
    <row r="809" spans="1:14" ht="15" customHeight="1" x14ac:dyDescent="0.35">
      <c r="A809">
        <v>71</v>
      </c>
      <c r="B809">
        <v>185</v>
      </c>
      <c r="C809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Master'!$F:$F,B809),"")</f>
        <v>337</v>
      </c>
      <c r="D809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Master'!$F:$F,B809),"")</f>
        <v>0.21099999999999999</v>
      </c>
      <c r="E809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Master'!$F:$F,B809),"")</f>
        <v>0.21099999999999999</v>
      </c>
      <c r="F809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Master'!$F:$F,B809),"")</f>
        <v>7.1999999999999995E-2</v>
      </c>
      <c r="G809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Master'!$F:$F,B809),"")</f>
        <v>143</v>
      </c>
      <c r="H809">
        <f>IF(AND(ISNUMBER(C809),C809&gt;='Bulk Calculator'!U71/('Bulk Calculator'!J71*'Bulk Calculator'!L71)),1,0)</f>
        <v>1</v>
      </c>
      <c r="I809">
        <f>IFERROR(IF(AND(ISNUMBER(E809),ISNUMBER(F809),E809&gt;0,F809&gt;0),SQRT(3)*'Bulk Calculator'!O71*'Bulk Calculator'!AA71*((E809*'Bulk Calculator'!Q71)+(F809*SQRT(1-'Bulk Calculator'!Q71^2)))/'Bulk Calculator'!J71/'Bulk Calculator'!K71*100,D809*'Bulk Calculator'!AA71*'Bulk Calculator'!O71/'Bulk Calculator'!J71/'Bulk Calculator'!K71*100),"")</f>
        <v>0</v>
      </c>
      <c r="J809">
        <f>IFERROR(IF(AND(ISNUMBER(E809),ISNUMBER(F809),E809&gt;0,F809&gt;0),SQRT(3)*'Bulk Calculator'!O71*'Bulk Calculator'!U71*((E809*'Bulk Calculator'!M71)+(F809*SQRT(1-'Bulk Calculator'!M71^2)))/'Bulk Calculator'!J71/'Bulk Calculator'!K71*100,D809*'Bulk Calculator'!U71*'Bulk Calculator'!O71/'Bulk Calculator'!J71/'Bulk Calculator'!K71*100),"")</f>
        <v>0</v>
      </c>
      <c r="K809">
        <f>IFERROR(G809*B809*'Bulk Calculator'!J71/SQRT('Bulk Calculator'!S71)/1000,"")</f>
        <v>59.155178344756941</v>
      </c>
      <c r="L809">
        <f>IF(OR('Bulk Calculator'!R71="",'Bulk Calculator'!S71="",G809=""),0,IF(K809&gt;='Bulk Calculator'!R71,1,0))</f>
        <v>1</v>
      </c>
      <c r="M809">
        <f>IF(AND(H809=1,I809&lt;='OS-DORAEN'!$B$6,J809&lt;='OS-DORAEN'!$B$5,L809=1),1,0)</f>
        <v>1</v>
      </c>
      <c r="N809" t="str">
        <f t="shared" si="12"/>
        <v>R/X</v>
      </c>
    </row>
    <row r="810" spans="1:14" ht="15" customHeight="1" x14ac:dyDescent="0.35">
      <c r="A810">
        <v>71</v>
      </c>
      <c r="B810">
        <v>150</v>
      </c>
      <c r="C810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Master'!$F:$F,B810),"")</f>
        <v>292</v>
      </c>
      <c r="D810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Master'!$F:$F,B810),"")</f>
        <v>0.26500000000000001</v>
      </c>
      <c r="E810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Master'!$F:$F,B810),"")</f>
        <v>0.26500000000000001</v>
      </c>
      <c r="F810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Master'!$F:$F,B810),"")</f>
        <v>7.1999999999999995E-2</v>
      </c>
      <c r="G810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Master'!$F:$F,B810),"")</f>
        <v>143</v>
      </c>
      <c r="H810">
        <f>IF(AND(ISNUMBER(C810),C810&gt;='Bulk Calculator'!U71/('Bulk Calculator'!J71*'Bulk Calculator'!L71)),1,0)</f>
        <v>1</v>
      </c>
      <c r="I810">
        <f>IFERROR(IF(AND(ISNUMBER(E810),ISNUMBER(F810),E810&gt;0,F810&gt;0),SQRT(3)*'Bulk Calculator'!O71*'Bulk Calculator'!AA71*((E810*'Bulk Calculator'!Q71)+(F810*SQRT(1-'Bulk Calculator'!Q71^2)))/'Bulk Calculator'!J71/'Bulk Calculator'!K71*100,D810*'Bulk Calculator'!AA71*'Bulk Calculator'!O71/'Bulk Calculator'!J71/'Bulk Calculator'!K71*100),"")</f>
        <v>0</v>
      </c>
      <c r="J810">
        <f>IFERROR(IF(AND(ISNUMBER(E810),ISNUMBER(F810),E810&gt;0,F810&gt;0),SQRT(3)*'Bulk Calculator'!O71*'Bulk Calculator'!U71*((E810*'Bulk Calculator'!M71)+(F810*SQRT(1-'Bulk Calculator'!M71^2)))/'Bulk Calculator'!J71/'Bulk Calculator'!K71*100,D810*'Bulk Calculator'!U71*'Bulk Calculator'!O71/'Bulk Calculator'!J71/'Bulk Calculator'!K71*100),"")</f>
        <v>0</v>
      </c>
      <c r="K810">
        <f>IFERROR(G810*B810*'Bulk Calculator'!J71/SQRT('Bulk Calculator'!S71)/1000,"")</f>
        <v>47.963658117370493</v>
      </c>
      <c r="L810">
        <f>IF(OR('Bulk Calculator'!R71="",'Bulk Calculator'!S71="",G810=""),0,IF(K810&gt;='Bulk Calculator'!R71,1,0))</f>
        <v>1</v>
      </c>
      <c r="M810">
        <f>IF(AND(H810=1,I810&lt;='OS-DORAEN'!$B$6,J810&lt;='OS-DORAEN'!$B$5,L810=1),1,0)</f>
        <v>1</v>
      </c>
      <c r="N810" t="str">
        <f t="shared" si="12"/>
        <v>R/X</v>
      </c>
    </row>
    <row r="811" spans="1:14" ht="15" customHeight="1" x14ac:dyDescent="0.35">
      <c r="A811">
        <v>71</v>
      </c>
      <c r="B811">
        <v>120</v>
      </c>
      <c r="C811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Master'!$F:$F,B811),"")</f>
        <v>257</v>
      </c>
      <c r="D811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Master'!$F:$F,B811),"")</f>
        <v>0.32500000000000001</v>
      </c>
      <c r="E811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Master'!$F:$F,B811),"")</f>
        <v>0.32500000000000001</v>
      </c>
      <c r="F811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Master'!$F:$F,B811),"")</f>
        <v>7.1999999999999995E-2</v>
      </c>
      <c r="G811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Master'!$F:$F,B811),"")</f>
        <v>143</v>
      </c>
      <c r="H811">
        <f>IF(AND(ISNUMBER(C811),C811&gt;='Bulk Calculator'!U71/('Bulk Calculator'!J71*'Bulk Calculator'!L71)),1,0)</f>
        <v>1</v>
      </c>
      <c r="I811">
        <f>IFERROR(IF(AND(ISNUMBER(E811),ISNUMBER(F811),E811&gt;0,F811&gt;0),SQRT(3)*'Bulk Calculator'!O71*'Bulk Calculator'!AA71*((E811*'Bulk Calculator'!Q71)+(F811*SQRT(1-'Bulk Calculator'!Q71^2)))/'Bulk Calculator'!J71/'Bulk Calculator'!K71*100,D811*'Bulk Calculator'!AA71*'Bulk Calculator'!O71/'Bulk Calculator'!J71/'Bulk Calculator'!K71*100),"")</f>
        <v>0</v>
      </c>
      <c r="J811">
        <f>IFERROR(IF(AND(ISNUMBER(E811),ISNUMBER(F811),E811&gt;0,F811&gt;0),SQRT(3)*'Bulk Calculator'!O71*'Bulk Calculator'!U71*((E811*'Bulk Calculator'!M71)+(F811*SQRT(1-'Bulk Calculator'!M71^2)))/'Bulk Calculator'!J71/'Bulk Calculator'!K71*100,D811*'Bulk Calculator'!U71*'Bulk Calculator'!O71/'Bulk Calculator'!J71/'Bulk Calculator'!K71*100),"")</f>
        <v>0</v>
      </c>
      <c r="K811">
        <f>IFERROR(G811*B811*'Bulk Calculator'!J71/SQRT('Bulk Calculator'!S71)/1000,"")</f>
        <v>38.370926493896391</v>
      </c>
      <c r="L811">
        <f>IF(OR('Bulk Calculator'!R71="",'Bulk Calculator'!S71="",G811=""),0,IF(K811&gt;='Bulk Calculator'!R71,1,0))</f>
        <v>1</v>
      </c>
      <c r="M811">
        <f>IF(AND(H811=1,I811&lt;='OS-DORAEN'!$B$6,J811&lt;='OS-DORAEN'!$B$5,L811=1),1,0)</f>
        <v>1</v>
      </c>
      <c r="N811" t="str">
        <f t="shared" si="12"/>
        <v>R/X</v>
      </c>
    </row>
    <row r="812" spans="1:14" ht="15" customHeight="1" x14ac:dyDescent="0.35">
      <c r="A812">
        <v>71</v>
      </c>
      <c r="B812">
        <v>95</v>
      </c>
      <c r="C812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Master'!$F:$F,B812),"")</f>
        <v>221</v>
      </c>
      <c r="D812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Master'!$F:$F,B812),"")</f>
        <v>0.41</v>
      </c>
      <c r="E812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Master'!$F:$F,B812),"")</f>
        <v>0.41</v>
      </c>
      <c r="F812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Master'!$F:$F,B812),"")</f>
        <v>7.3999999999999996E-2</v>
      </c>
      <c r="G812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Master'!$F:$F,B812),"")</f>
        <v>143</v>
      </c>
      <c r="H812">
        <f>IF(AND(ISNUMBER(C812),C812&gt;='Bulk Calculator'!U71/('Bulk Calculator'!J71*'Bulk Calculator'!L71)),1,0)</f>
        <v>1</v>
      </c>
      <c r="I812">
        <f>IFERROR(IF(AND(ISNUMBER(E812),ISNUMBER(F812),E812&gt;0,F812&gt;0),SQRT(3)*'Bulk Calculator'!O71*'Bulk Calculator'!AA71*((E812*'Bulk Calculator'!Q71)+(F812*SQRT(1-'Bulk Calculator'!Q71^2)))/'Bulk Calculator'!J71/'Bulk Calculator'!K71*100,D812*'Bulk Calculator'!AA71*'Bulk Calculator'!O71/'Bulk Calculator'!J71/'Bulk Calculator'!K71*100),"")</f>
        <v>0</v>
      </c>
      <c r="J812">
        <f>IFERROR(IF(AND(ISNUMBER(E812),ISNUMBER(F812),E812&gt;0,F812&gt;0),SQRT(3)*'Bulk Calculator'!O71*'Bulk Calculator'!U71*((E812*'Bulk Calculator'!M71)+(F812*SQRT(1-'Bulk Calculator'!M71^2)))/'Bulk Calculator'!J71/'Bulk Calculator'!K71*100,D812*'Bulk Calculator'!U71*'Bulk Calculator'!O71/'Bulk Calculator'!J71/'Bulk Calculator'!K71*100),"")</f>
        <v>0</v>
      </c>
      <c r="K812">
        <f>IFERROR(G812*B812*'Bulk Calculator'!J71/SQRT('Bulk Calculator'!S71)/1000,"")</f>
        <v>30.376983474334644</v>
      </c>
      <c r="L812">
        <f>IF(OR('Bulk Calculator'!R71="",'Bulk Calculator'!S71="",G812=""),0,IF(K812&gt;='Bulk Calculator'!R71,1,0))</f>
        <v>1</v>
      </c>
      <c r="M812">
        <f>IF(AND(H812=1,I812&lt;='OS-DORAEN'!$B$6,J812&lt;='OS-DORAEN'!$B$5,L812=1),1,0)</f>
        <v>1</v>
      </c>
      <c r="N812" t="str">
        <f t="shared" si="12"/>
        <v>R/X</v>
      </c>
    </row>
    <row r="813" spans="1:14" ht="15" customHeight="1" x14ac:dyDescent="0.35">
      <c r="A813">
        <v>71</v>
      </c>
      <c r="B813">
        <v>70</v>
      </c>
      <c r="C813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Master'!$F:$F,B813),"")</f>
        <v>179</v>
      </c>
      <c r="D813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Master'!$F:$F,B813),"")</f>
        <v>0.56699999999999995</v>
      </c>
      <c r="E813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Master'!$F:$F,B813),"")</f>
        <v>0.56699999999999995</v>
      </c>
      <c r="F813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Master'!$F:$F,B813),"")</f>
        <v>7.6999999999999999E-2</v>
      </c>
      <c r="G813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Master'!$F:$F,B813),"")</f>
        <v>143</v>
      </c>
      <c r="H813">
        <f>IF(AND(ISNUMBER(C813),C813&gt;='Bulk Calculator'!U71/('Bulk Calculator'!J71*'Bulk Calculator'!L71)),1,0)</f>
        <v>1</v>
      </c>
      <c r="I813">
        <f>IFERROR(IF(AND(ISNUMBER(E813),ISNUMBER(F813),E813&gt;0,F813&gt;0),SQRT(3)*'Bulk Calculator'!O71*'Bulk Calculator'!AA71*((E813*'Bulk Calculator'!Q71)+(F813*SQRT(1-'Bulk Calculator'!Q71^2)))/'Bulk Calculator'!J71/'Bulk Calculator'!K71*100,D813*'Bulk Calculator'!AA71*'Bulk Calculator'!O71/'Bulk Calculator'!J71/'Bulk Calculator'!K71*100),"")</f>
        <v>0</v>
      </c>
      <c r="J813">
        <f>IFERROR(IF(AND(ISNUMBER(E813),ISNUMBER(F813),E813&gt;0,F813&gt;0),SQRT(3)*'Bulk Calculator'!O71*'Bulk Calculator'!U71*((E813*'Bulk Calculator'!M71)+(F813*SQRT(1-'Bulk Calculator'!M71^2)))/'Bulk Calculator'!J71/'Bulk Calculator'!K71*100,D813*'Bulk Calculator'!U71*'Bulk Calculator'!O71/'Bulk Calculator'!J71/'Bulk Calculator'!K71*100),"")</f>
        <v>0</v>
      </c>
      <c r="K813">
        <f>IFERROR(G813*B813*'Bulk Calculator'!J71/SQRT('Bulk Calculator'!S71)/1000,"")</f>
        <v>22.383040454772893</v>
      </c>
      <c r="L813">
        <f>IF(OR('Bulk Calculator'!R71="",'Bulk Calculator'!S71="",G813=""),0,IF(K813&gt;='Bulk Calculator'!R71,1,0))</f>
        <v>1</v>
      </c>
      <c r="M813">
        <f>IF(AND(H813=1,I813&lt;='OS-DORAEN'!$B$6,J813&lt;='OS-DORAEN'!$B$5,L813=1),1,0)</f>
        <v>1</v>
      </c>
      <c r="N813" t="str">
        <f t="shared" si="12"/>
        <v>R/X</v>
      </c>
    </row>
    <row r="814" spans="1:14" ht="15" customHeight="1" x14ac:dyDescent="0.35">
      <c r="A814">
        <v>71</v>
      </c>
      <c r="B814">
        <v>50</v>
      </c>
      <c r="C814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Master'!$F:$F,B814),"")</f>
        <v>142</v>
      </c>
      <c r="D814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Master'!$F:$F,B814),"")</f>
        <v>0.82</v>
      </c>
      <c r="E814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Master'!$F:$F,B814),"")</f>
        <v>0.82</v>
      </c>
      <c r="F814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Master'!$F:$F,B814),"")</f>
        <v>7.8E-2</v>
      </c>
      <c r="G814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Master'!$F:$F,B814),"")</f>
        <v>143</v>
      </c>
      <c r="H814">
        <f>IF(AND(ISNUMBER(C814),C814&gt;='Bulk Calculator'!U71/('Bulk Calculator'!J71*'Bulk Calculator'!L71)),1,0)</f>
        <v>1</v>
      </c>
      <c r="I814">
        <f>IFERROR(IF(AND(ISNUMBER(E814),ISNUMBER(F814),E814&gt;0,F814&gt;0),SQRT(3)*'Bulk Calculator'!O71*'Bulk Calculator'!AA71*((E814*'Bulk Calculator'!Q71)+(F814*SQRT(1-'Bulk Calculator'!Q71^2)))/'Bulk Calculator'!J71/'Bulk Calculator'!K71*100,D814*'Bulk Calculator'!AA71*'Bulk Calculator'!O71/'Bulk Calculator'!J71/'Bulk Calculator'!K71*100),"")</f>
        <v>0</v>
      </c>
      <c r="J814">
        <f>IFERROR(IF(AND(ISNUMBER(E814),ISNUMBER(F814),E814&gt;0,F814&gt;0),SQRT(3)*'Bulk Calculator'!O71*'Bulk Calculator'!U71*((E814*'Bulk Calculator'!M71)+(F814*SQRT(1-'Bulk Calculator'!M71^2)))/'Bulk Calculator'!J71/'Bulk Calculator'!K71*100,D814*'Bulk Calculator'!U71*'Bulk Calculator'!O71/'Bulk Calculator'!J71/'Bulk Calculator'!K71*100),"")</f>
        <v>0</v>
      </c>
      <c r="K814">
        <f>IFERROR(G814*B814*'Bulk Calculator'!J71/SQRT('Bulk Calculator'!S71)/1000,"")</f>
        <v>15.987886039123497</v>
      </c>
      <c r="L814">
        <f>IF(OR('Bulk Calculator'!R71="",'Bulk Calculator'!S71="",G814=""),0,IF(K814&gt;='Bulk Calculator'!R71,1,0))</f>
        <v>1</v>
      </c>
      <c r="M814">
        <f>IF(AND(H814=1,I814&lt;='OS-DORAEN'!$B$6,J814&lt;='OS-DORAEN'!$B$5,L814=1),1,0)</f>
        <v>1</v>
      </c>
      <c r="N814" t="str">
        <f t="shared" si="12"/>
        <v>R/X</v>
      </c>
    </row>
    <row r="815" spans="1:14" ht="15" customHeight="1" x14ac:dyDescent="0.35">
      <c r="A815">
        <v>71</v>
      </c>
      <c r="B815">
        <v>35</v>
      </c>
      <c r="C815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Master'!$F:$F,B815),"")</f>
        <v>117</v>
      </c>
      <c r="D815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Master'!$F:$F,B815),"")</f>
        <v>1.1100000000000001</v>
      </c>
      <c r="E815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Master'!$F:$F,B815),"")</f>
        <v>1.1100000000000001</v>
      </c>
      <c r="F815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Master'!$F:$F,B815),"")</f>
        <v>0.08</v>
      </c>
      <c r="G815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Master'!$F:$F,B815),"")</f>
        <v>143</v>
      </c>
      <c r="H815">
        <f>IF(AND(ISNUMBER(C815),C815&gt;='Bulk Calculator'!U71/('Bulk Calculator'!J71*'Bulk Calculator'!L71)),1,0)</f>
        <v>1</v>
      </c>
      <c r="I815">
        <f>IFERROR(IF(AND(ISNUMBER(E815),ISNUMBER(F815),E815&gt;0,F815&gt;0),SQRT(3)*'Bulk Calculator'!O71*'Bulk Calculator'!AA71*((E815*'Bulk Calculator'!Q71)+(F815*SQRT(1-'Bulk Calculator'!Q71^2)))/'Bulk Calculator'!J71/'Bulk Calculator'!K71*100,D815*'Bulk Calculator'!AA71*'Bulk Calculator'!O71/'Bulk Calculator'!J71/'Bulk Calculator'!K71*100),"")</f>
        <v>0</v>
      </c>
      <c r="J815">
        <f>IFERROR(IF(AND(ISNUMBER(E815),ISNUMBER(F815),E815&gt;0,F815&gt;0),SQRT(3)*'Bulk Calculator'!O71*'Bulk Calculator'!U71*((E815*'Bulk Calculator'!M71)+(F815*SQRT(1-'Bulk Calculator'!M71^2)))/'Bulk Calculator'!J71/'Bulk Calculator'!K71*100,D815*'Bulk Calculator'!U71*'Bulk Calculator'!O71/'Bulk Calculator'!J71/'Bulk Calculator'!K71*100),"")</f>
        <v>0</v>
      </c>
      <c r="K815">
        <f>IFERROR(G815*B815*'Bulk Calculator'!J71/SQRT('Bulk Calculator'!S71)/1000,"")</f>
        <v>11.191520227386446</v>
      </c>
      <c r="L815">
        <f>IF(OR('Bulk Calculator'!R71="",'Bulk Calculator'!S71="",G815=""),0,IF(K815&gt;='Bulk Calculator'!R71,1,0))</f>
        <v>1</v>
      </c>
      <c r="M815">
        <f>IF(AND(H815=1,I815&lt;='OS-DORAEN'!$B$6,J815&lt;='OS-DORAEN'!$B$5,L815=1),1,0)</f>
        <v>1</v>
      </c>
      <c r="N815" t="str">
        <f t="shared" si="12"/>
        <v>R/X</v>
      </c>
    </row>
    <row r="816" spans="1:14" ht="15" customHeight="1" x14ac:dyDescent="0.35">
      <c r="A816">
        <v>71</v>
      </c>
      <c r="B816">
        <v>25</v>
      </c>
      <c r="C816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Master'!$F:$F,B816),"")</f>
        <v>96</v>
      </c>
      <c r="D816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Master'!$F:$F,B816),"")</f>
        <v>1.54</v>
      </c>
      <c r="E816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Master'!$F:$F,B816),"")</f>
        <v>1.54</v>
      </c>
      <c r="F816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Master'!$F:$F,B816),"")</f>
        <v>0.08</v>
      </c>
      <c r="G816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Master'!$F:$F,B816),"")</f>
        <v>143</v>
      </c>
      <c r="H816">
        <f>IF(AND(ISNUMBER(C816),C816&gt;='Bulk Calculator'!U71/('Bulk Calculator'!J71*'Bulk Calculator'!L71)),1,0)</f>
        <v>1</v>
      </c>
      <c r="I816">
        <f>IFERROR(IF(AND(ISNUMBER(E816),ISNUMBER(F816),E816&gt;0,F816&gt;0),SQRT(3)*'Bulk Calculator'!O71*'Bulk Calculator'!AA71*((E816*'Bulk Calculator'!Q71)+(F816*SQRT(1-'Bulk Calculator'!Q71^2)))/'Bulk Calculator'!J71/'Bulk Calculator'!K71*100,D816*'Bulk Calculator'!AA71*'Bulk Calculator'!O71/'Bulk Calculator'!J71/'Bulk Calculator'!K71*100),"")</f>
        <v>0</v>
      </c>
      <c r="J816">
        <f>IFERROR(IF(AND(ISNUMBER(E816),ISNUMBER(F816),E816&gt;0,F816&gt;0),SQRT(3)*'Bulk Calculator'!O71*'Bulk Calculator'!U71*((E816*'Bulk Calculator'!M71)+(F816*SQRT(1-'Bulk Calculator'!M71^2)))/'Bulk Calculator'!J71/'Bulk Calculator'!K71*100,D816*'Bulk Calculator'!U71*'Bulk Calculator'!O71/'Bulk Calculator'!J71/'Bulk Calculator'!K71*100),"")</f>
        <v>0</v>
      </c>
      <c r="K816">
        <f>IFERROR(G816*B816*'Bulk Calculator'!J71/SQRT('Bulk Calculator'!S71)/1000,"")</f>
        <v>7.9939430195617485</v>
      </c>
      <c r="L816">
        <f>IF(OR('Bulk Calculator'!R71="",'Bulk Calculator'!S71="",G816=""),0,IF(K816&gt;='Bulk Calculator'!R71,1,0))</f>
        <v>1</v>
      </c>
      <c r="M816">
        <f>IF(AND(H816=1,I816&lt;='OS-DORAEN'!$B$6,J816&lt;='OS-DORAEN'!$B$5,L816=1),1,0)</f>
        <v>1</v>
      </c>
      <c r="N816" t="str">
        <f t="shared" si="12"/>
        <v>R/X</v>
      </c>
    </row>
    <row r="817" spans="1:14" ht="15" customHeight="1" x14ac:dyDescent="0.35">
      <c r="A817">
        <v>71</v>
      </c>
      <c r="B817">
        <v>16</v>
      </c>
      <c r="C817">
        <f>IFERROR(SUMIFS('Cable Data Master'!$G:$G,'Cable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Master'!$F:$F,B817),"")</f>
        <v>0</v>
      </c>
      <c r="D817">
        <f>IFERROR(SUMIFS('Cable Data Master'!$K:$K,'Cable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Master'!$F:$F,B817),"")</f>
        <v>0</v>
      </c>
      <c r="E817">
        <f>IFERROR(SUMIFS('Cable Data Master'!$H:$H,'Cable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Master'!$F:$F,B817),"")</f>
        <v>0</v>
      </c>
      <c r="F817">
        <f>IFERROR(SUMIFS('Cable Data Master'!$I:$I,'Cable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Master'!$F:$F,B817),"")</f>
        <v>0</v>
      </c>
      <c r="G817">
        <f>IFERROR(SUMIFS('Cable Data Master'!$J:$J,'Cable Data Master'!$A:$A,'Bulk Calculator'!$BF71,'Cable Data Master'!$B:$B,'Bulk Calculator'!$BG71,'Cable Data Master'!$C:$C,'Bulk Calculator'!$BH71,'Cable Data Master'!$D:$D,'Bulk Calculator'!$BI71,'Cable Data Master'!$E:$E,'Bulk Calculator'!$BJ71,'Cable Data Master'!$F:$F,B817),"")</f>
        <v>0</v>
      </c>
      <c r="H817">
        <f>IF(AND(ISNUMBER(C817),C817&gt;='Bulk Calculator'!U71/('Bulk Calculator'!J71*'Bulk Calculator'!L71)),1,0)</f>
        <v>1</v>
      </c>
      <c r="I817">
        <f>IFERROR(IF(AND(ISNUMBER(E817),ISNUMBER(F817),E817&gt;0,F817&gt;0),SQRT(3)*'Bulk Calculator'!O71*'Bulk Calculator'!AA71*((E817*'Bulk Calculator'!Q71)+(F817*SQRT(1-'Bulk Calculator'!Q71^2)))/'Bulk Calculator'!J71/'Bulk Calculator'!K71*100,D817*'Bulk Calculator'!AA71*'Bulk Calculator'!O71/'Bulk Calculator'!J71/'Bulk Calculator'!K71*100),"")</f>
        <v>0</v>
      </c>
      <c r="J817">
        <f>IFERROR(IF(AND(ISNUMBER(E817),ISNUMBER(F817),E817&gt;0,F817&gt;0),SQRT(3)*'Bulk Calculator'!O71*'Bulk Calculator'!U71*((E817*'Bulk Calculator'!M71)+(F817*SQRT(1-'Bulk Calculator'!M71^2)))/'Bulk Calculator'!J71/'Bulk Calculator'!K71*100,D817*'Bulk Calculator'!U71*'Bulk Calculator'!O71/'Bulk Calculator'!J71/'Bulk Calculator'!K71*100),"")</f>
        <v>0</v>
      </c>
      <c r="K817">
        <f>IFERROR(G817*B817*'Bulk Calculator'!J71/SQRT('Bulk Calculator'!S71)/1000,"")</f>
        <v>0</v>
      </c>
      <c r="L817">
        <f>IF(OR('Bulk Calculator'!R71="",'Bulk Calculator'!S71="",G817=""),0,IF(K817&gt;='Bulk Calculator'!R71,1,0))</f>
        <v>1</v>
      </c>
      <c r="M817">
        <f>IF(AND(H817=1,I817&lt;='OS-DORAEN'!$B$6,J817&lt;='OS-DORAEN'!$B$5,L817=1),1,0)</f>
        <v>1</v>
      </c>
      <c r="N817" t="str">
        <f t="shared" si="12"/>
        <v>Manufacturer VD Ref</v>
      </c>
    </row>
    <row r="818" spans="1:14" ht="15" customHeight="1" x14ac:dyDescent="0.35">
      <c r="A818">
        <v>72</v>
      </c>
      <c r="B818">
        <v>400</v>
      </c>
      <c r="C818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Master'!$F:$F,B818),"")</f>
        <v>530</v>
      </c>
      <c r="D818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Master'!$F:$F,B818),"")</f>
        <v>0.1023</v>
      </c>
      <c r="E818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Master'!$F:$F,B818),"")</f>
        <v>0.1023</v>
      </c>
      <c r="F818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Master'!$F:$F,B818),"")</f>
        <v>7.0000000000000007E-2</v>
      </c>
      <c r="G818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Master'!$F:$F,B818),"")</f>
        <v>143</v>
      </c>
      <c r="H818">
        <f>IF(AND(ISNUMBER(C818),C818&gt;='Bulk Calculator'!U72/('Bulk Calculator'!J72*'Bulk Calculator'!L72)),1,0)</f>
        <v>1</v>
      </c>
      <c r="I818">
        <f>IFERROR(IF(AND(ISNUMBER(E818),ISNUMBER(F818),E818&gt;0,F818&gt;0),SQRT(3)*'Bulk Calculator'!O72*'Bulk Calculator'!AA72*((E818*'Bulk Calculator'!Q72)+(F818*SQRT(1-'Bulk Calculator'!Q72^2)))/'Bulk Calculator'!J72/'Bulk Calculator'!K72*100,D818*'Bulk Calculator'!AA72*'Bulk Calculator'!O72/'Bulk Calculator'!J72/'Bulk Calculator'!K72*100),"")</f>
        <v>0</v>
      </c>
      <c r="J818">
        <f>IFERROR(IF(AND(ISNUMBER(E818),ISNUMBER(F818),E818&gt;0,F818&gt;0),SQRT(3)*'Bulk Calculator'!O72*'Bulk Calculator'!U72*((E818*'Bulk Calculator'!M72)+(F818*SQRT(1-'Bulk Calculator'!M72^2)))/'Bulk Calculator'!J72/'Bulk Calculator'!K72*100,D818*'Bulk Calculator'!U72*'Bulk Calculator'!O72/'Bulk Calculator'!J72/'Bulk Calculator'!K72*100),"")</f>
        <v>0</v>
      </c>
      <c r="K818">
        <f>IFERROR(G818*B818*'Bulk Calculator'!J72/SQRT('Bulk Calculator'!S72)/1000,"")</f>
        <v>127.90308831298798</v>
      </c>
      <c r="L818">
        <f>IF(OR('Bulk Calculator'!R72="",'Bulk Calculator'!S72="",G818=""),0,IF(K818&gt;='Bulk Calculator'!R72,1,0))</f>
        <v>1</v>
      </c>
      <c r="M818">
        <f>IF(AND(H818=1,I818&lt;='OS-DORAEN'!$B$6,J818&lt;='OS-DORAEN'!$B$5,L818=1),1,0)</f>
        <v>1</v>
      </c>
      <c r="N818" t="str">
        <f t="shared" si="12"/>
        <v>R/X</v>
      </c>
    </row>
    <row r="819" spans="1:14" ht="15" customHeight="1" x14ac:dyDescent="0.35">
      <c r="A819">
        <v>72</v>
      </c>
      <c r="B819">
        <v>300</v>
      </c>
      <c r="C819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Master'!$F:$F,B819),"")</f>
        <v>455</v>
      </c>
      <c r="D819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Master'!$F:$F,B819),"")</f>
        <v>0.13</v>
      </c>
      <c r="E819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Master'!$F:$F,B819),"")</f>
        <v>0.13</v>
      </c>
      <c r="F819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Master'!$F:$F,B819),"")</f>
        <v>7.0999999999999994E-2</v>
      </c>
      <c r="G819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Master'!$F:$F,B819),"")</f>
        <v>143</v>
      </c>
      <c r="H819">
        <f>IF(AND(ISNUMBER(C819),C819&gt;='Bulk Calculator'!U72/('Bulk Calculator'!J72*'Bulk Calculator'!L72)),1,0)</f>
        <v>1</v>
      </c>
      <c r="I819">
        <f>IFERROR(IF(AND(ISNUMBER(E819),ISNUMBER(F819),E819&gt;0,F819&gt;0),SQRT(3)*'Bulk Calculator'!O72*'Bulk Calculator'!AA72*((E819*'Bulk Calculator'!Q72)+(F819*SQRT(1-'Bulk Calculator'!Q72^2)))/'Bulk Calculator'!J72/'Bulk Calculator'!K72*100,D819*'Bulk Calculator'!AA72*'Bulk Calculator'!O72/'Bulk Calculator'!J72/'Bulk Calculator'!K72*100),"")</f>
        <v>0</v>
      </c>
      <c r="J819">
        <f>IFERROR(IF(AND(ISNUMBER(E819),ISNUMBER(F819),E819&gt;0,F819&gt;0),SQRT(3)*'Bulk Calculator'!O72*'Bulk Calculator'!U72*((E819*'Bulk Calculator'!M72)+(F819*SQRT(1-'Bulk Calculator'!M72^2)))/'Bulk Calculator'!J72/'Bulk Calculator'!K72*100,D819*'Bulk Calculator'!U72*'Bulk Calculator'!O72/'Bulk Calculator'!J72/'Bulk Calculator'!K72*100),"")</f>
        <v>0</v>
      </c>
      <c r="K819">
        <f>IFERROR(G819*B819*'Bulk Calculator'!J72/SQRT('Bulk Calculator'!S72)/1000,"")</f>
        <v>95.927316234740985</v>
      </c>
      <c r="L819">
        <f>IF(OR('Bulk Calculator'!R72="",'Bulk Calculator'!S72="",G819=""),0,IF(K819&gt;='Bulk Calculator'!R72,1,0))</f>
        <v>1</v>
      </c>
      <c r="M819">
        <f>IF(AND(H819=1,I819&lt;='OS-DORAEN'!$B$6,J819&lt;='OS-DORAEN'!$B$5,L819=1),1,0)</f>
        <v>1</v>
      </c>
      <c r="N819" t="str">
        <f t="shared" si="12"/>
        <v>R/X</v>
      </c>
    </row>
    <row r="820" spans="1:14" ht="15" customHeight="1" x14ac:dyDescent="0.35">
      <c r="A820">
        <v>72</v>
      </c>
      <c r="B820">
        <v>240</v>
      </c>
      <c r="C820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Master'!$F:$F,B820),"")</f>
        <v>399</v>
      </c>
      <c r="D820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Master'!$F:$F,B820),"")</f>
        <v>0.16200000000000001</v>
      </c>
      <c r="E820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Master'!$F:$F,B820),"")</f>
        <v>0.16200000000000001</v>
      </c>
      <c r="F820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Master'!$F:$F,B820),"")</f>
        <v>7.1999999999999995E-2</v>
      </c>
      <c r="G820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Master'!$F:$F,B820),"")</f>
        <v>143</v>
      </c>
      <c r="H820">
        <f>IF(AND(ISNUMBER(C820),C820&gt;='Bulk Calculator'!U72/('Bulk Calculator'!J72*'Bulk Calculator'!L72)),1,0)</f>
        <v>1</v>
      </c>
      <c r="I820">
        <f>IFERROR(IF(AND(ISNUMBER(E820),ISNUMBER(F820),E820&gt;0,F820&gt;0),SQRT(3)*'Bulk Calculator'!O72*'Bulk Calculator'!AA72*((E820*'Bulk Calculator'!Q72)+(F820*SQRT(1-'Bulk Calculator'!Q72^2)))/'Bulk Calculator'!J72/'Bulk Calculator'!K72*100,D820*'Bulk Calculator'!AA72*'Bulk Calculator'!O72/'Bulk Calculator'!J72/'Bulk Calculator'!K72*100),"")</f>
        <v>0</v>
      </c>
      <c r="J820">
        <f>IFERROR(IF(AND(ISNUMBER(E820),ISNUMBER(F820),E820&gt;0,F820&gt;0),SQRT(3)*'Bulk Calculator'!O72*'Bulk Calculator'!U72*((E820*'Bulk Calculator'!M72)+(F820*SQRT(1-'Bulk Calculator'!M72^2)))/'Bulk Calculator'!J72/'Bulk Calculator'!K72*100,D820*'Bulk Calculator'!U72*'Bulk Calculator'!O72/'Bulk Calculator'!J72/'Bulk Calculator'!K72*100),"")</f>
        <v>0</v>
      </c>
      <c r="K820">
        <f>IFERROR(G820*B820*'Bulk Calculator'!J72/SQRT('Bulk Calculator'!S72)/1000,"")</f>
        <v>76.741852987792782</v>
      </c>
      <c r="L820">
        <f>IF(OR('Bulk Calculator'!R72="",'Bulk Calculator'!S72="",G820=""),0,IF(K820&gt;='Bulk Calculator'!R72,1,0))</f>
        <v>1</v>
      </c>
      <c r="M820">
        <f>IF(AND(H820=1,I820&lt;='OS-DORAEN'!$B$6,J820&lt;='OS-DORAEN'!$B$5,L820=1),1,0)</f>
        <v>1</v>
      </c>
      <c r="N820" t="str">
        <f t="shared" si="12"/>
        <v>R/X</v>
      </c>
    </row>
    <row r="821" spans="1:14" ht="15" customHeight="1" x14ac:dyDescent="0.35">
      <c r="A821">
        <v>72</v>
      </c>
      <c r="B821">
        <v>185</v>
      </c>
      <c r="C821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Master'!$F:$F,B821),"")</f>
        <v>337</v>
      </c>
      <c r="D821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Master'!$F:$F,B821),"")</f>
        <v>0.21099999999999999</v>
      </c>
      <c r="E821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Master'!$F:$F,B821),"")</f>
        <v>0.21099999999999999</v>
      </c>
      <c r="F821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Master'!$F:$F,B821),"")</f>
        <v>7.1999999999999995E-2</v>
      </c>
      <c r="G821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Master'!$F:$F,B821),"")</f>
        <v>143</v>
      </c>
      <c r="H821">
        <f>IF(AND(ISNUMBER(C821),C821&gt;='Bulk Calculator'!U72/('Bulk Calculator'!J72*'Bulk Calculator'!L72)),1,0)</f>
        <v>1</v>
      </c>
      <c r="I821">
        <f>IFERROR(IF(AND(ISNUMBER(E821),ISNUMBER(F821),E821&gt;0,F821&gt;0),SQRT(3)*'Bulk Calculator'!O72*'Bulk Calculator'!AA72*((E821*'Bulk Calculator'!Q72)+(F821*SQRT(1-'Bulk Calculator'!Q72^2)))/'Bulk Calculator'!J72/'Bulk Calculator'!K72*100,D821*'Bulk Calculator'!AA72*'Bulk Calculator'!O72/'Bulk Calculator'!J72/'Bulk Calculator'!K72*100),"")</f>
        <v>0</v>
      </c>
      <c r="J821">
        <f>IFERROR(IF(AND(ISNUMBER(E821),ISNUMBER(F821),E821&gt;0,F821&gt;0),SQRT(3)*'Bulk Calculator'!O72*'Bulk Calculator'!U72*((E821*'Bulk Calculator'!M72)+(F821*SQRT(1-'Bulk Calculator'!M72^2)))/'Bulk Calculator'!J72/'Bulk Calculator'!K72*100,D821*'Bulk Calculator'!U72*'Bulk Calculator'!O72/'Bulk Calculator'!J72/'Bulk Calculator'!K72*100),"")</f>
        <v>0</v>
      </c>
      <c r="K821">
        <f>IFERROR(G821*B821*'Bulk Calculator'!J72/SQRT('Bulk Calculator'!S72)/1000,"")</f>
        <v>59.155178344756941</v>
      </c>
      <c r="L821">
        <f>IF(OR('Bulk Calculator'!R72="",'Bulk Calculator'!S72="",G821=""),0,IF(K821&gt;='Bulk Calculator'!R72,1,0))</f>
        <v>1</v>
      </c>
      <c r="M821">
        <f>IF(AND(H821=1,I821&lt;='OS-DORAEN'!$B$6,J821&lt;='OS-DORAEN'!$B$5,L821=1),1,0)</f>
        <v>1</v>
      </c>
      <c r="N821" t="str">
        <f t="shared" si="12"/>
        <v>R/X</v>
      </c>
    </row>
    <row r="822" spans="1:14" ht="15" customHeight="1" x14ac:dyDescent="0.35">
      <c r="A822">
        <v>72</v>
      </c>
      <c r="B822">
        <v>150</v>
      </c>
      <c r="C822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Master'!$F:$F,B822),"")</f>
        <v>292</v>
      </c>
      <c r="D822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Master'!$F:$F,B822),"")</f>
        <v>0.26500000000000001</v>
      </c>
      <c r="E822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Master'!$F:$F,B822),"")</f>
        <v>0.26500000000000001</v>
      </c>
      <c r="F822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Master'!$F:$F,B822),"")</f>
        <v>7.1999999999999995E-2</v>
      </c>
      <c r="G822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Master'!$F:$F,B822),"")</f>
        <v>143</v>
      </c>
      <c r="H822">
        <f>IF(AND(ISNUMBER(C822),C822&gt;='Bulk Calculator'!U72/('Bulk Calculator'!J72*'Bulk Calculator'!L72)),1,0)</f>
        <v>1</v>
      </c>
      <c r="I822">
        <f>IFERROR(IF(AND(ISNUMBER(E822),ISNUMBER(F822),E822&gt;0,F822&gt;0),SQRT(3)*'Bulk Calculator'!O72*'Bulk Calculator'!AA72*((E822*'Bulk Calculator'!Q72)+(F822*SQRT(1-'Bulk Calculator'!Q72^2)))/'Bulk Calculator'!J72/'Bulk Calculator'!K72*100,D822*'Bulk Calculator'!AA72*'Bulk Calculator'!O72/'Bulk Calculator'!J72/'Bulk Calculator'!K72*100),"")</f>
        <v>0</v>
      </c>
      <c r="J822">
        <f>IFERROR(IF(AND(ISNUMBER(E822),ISNUMBER(F822),E822&gt;0,F822&gt;0),SQRT(3)*'Bulk Calculator'!O72*'Bulk Calculator'!U72*((E822*'Bulk Calculator'!M72)+(F822*SQRT(1-'Bulk Calculator'!M72^2)))/'Bulk Calculator'!J72/'Bulk Calculator'!K72*100,D822*'Bulk Calculator'!U72*'Bulk Calculator'!O72/'Bulk Calculator'!J72/'Bulk Calculator'!K72*100),"")</f>
        <v>0</v>
      </c>
      <c r="K822">
        <f>IFERROR(G822*B822*'Bulk Calculator'!J72/SQRT('Bulk Calculator'!S72)/1000,"")</f>
        <v>47.963658117370493</v>
      </c>
      <c r="L822">
        <f>IF(OR('Bulk Calculator'!R72="",'Bulk Calculator'!S72="",G822=""),0,IF(K822&gt;='Bulk Calculator'!R72,1,0))</f>
        <v>1</v>
      </c>
      <c r="M822">
        <f>IF(AND(H822=1,I822&lt;='OS-DORAEN'!$B$6,J822&lt;='OS-DORAEN'!$B$5,L822=1),1,0)</f>
        <v>1</v>
      </c>
      <c r="N822" t="str">
        <f t="shared" si="12"/>
        <v>R/X</v>
      </c>
    </row>
    <row r="823" spans="1:14" ht="15" customHeight="1" x14ac:dyDescent="0.35">
      <c r="A823">
        <v>72</v>
      </c>
      <c r="B823">
        <v>120</v>
      </c>
      <c r="C823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Master'!$F:$F,B823),"")</f>
        <v>257</v>
      </c>
      <c r="D823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Master'!$F:$F,B823),"")</f>
        <v>0.32500000000000001</v>
      </c>
      <c r="E823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Master'!$F:$F,B823),"")</f>
        <v>0.32500000000000001</v>
      </c>
      <c r="F823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Master'!$F:$F,B823),"")</f>
        <v>7.1999999999999995E-2</v>
      </c>
      <c r="G823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Master'!$F:$F,B823),"")</f>
        <v>143</v>
      </c>
      <c r="H823">
        <f>IF(AND(ISNUMBER(C823),C823&gt;='Bulk Calculator'!U72/('Bulk Calculator'!J72*'Bulk Calculator'!L72)),1,0)</f>
        <v>1</v>
      </c>
      <c r="I823">
        <f>IFERROR(IF(AND(ISNUMBER(E823),ISNUMBER(F823),E823&gt;0,F823&gt;0),SQRT(3)*'Bulk Calculator'!O72*'Bulk Calculator'!AA72*((E823*'Bulk Calculator'!Q72)+(F823*SQRT(1-'Bulk Calculator'!Q72^2)))/'Bulk Calculator'!J72/'Bulk Calculator'!K72*100,D823*'Bulk Calculator'!AA72*'Bulk Calculator'!O72/'Bulk Calculator'!J72/'Bulk Calculator'!K72*100),"")</f>
        <v>0</v>
      </c>
      <c r="J823">
        <f>IFERROR(IF(AND(ISNUMBER(E823),ISNUMBER(F823),E823&gt;0,F823&gt;0),SQRT(3)*'Bulk Calculator'!O72*'Bulk Calculator'!U72*((E823*'Bulk Calculator'!M72)+(F823*SQRT(1-'Bulk Calculator'!M72^2)))/'Bulk Calculator'!J72/'Bulk Calculator'!K72*100,D823*'Bulk Calculator'!U72*'Bulk Calculator'!O72/'Bulk Calculator'!J72/'Bulk Calculator'!K72*100),"")</f>
        <v>0</v>
      </c>
      <c r="K823">
        <f>IFERROR(G823*B823*'Bulk Calculator'!J72/SQRT('Bulk Calculator'!S72)/1000,"")</f>
        <v>38.370926493896391</v>
      </c>
      <c r="L823">
        <f>IF(OR('Bulk Calculator'!R72="",'Bulk Calculator'!S72="",G823=""),0,IF(K823&gt;='Bulk Calculator'!R72,1,0))</f>
        <v>1</v>
      </c>
      <c r="M823">
        <f>IF(AND(H823=1,I823&lt;='OS-DORAEN'!$B$6,J823&lt;='OS-DORAEN'!$B$5,L823=1),1,0)</f>
        <v>1</v>
      </c>
      <c r="N823" t="str">
        <f t="shared" si="12"/>
        <v>R/X</v>
      </c>
    </row>
    <row r="824" spans="1:14" ht="15" customHeight="1" x14ac:dyDescent="0.35">
      <c r="A824">
        <v>72</v>
      </c>
      <c r="B824">
        <v>95</v>
      </c>
      <c r="C824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Master'!$F:$F,B824),"")</f>
        <v>221</v>
      </c>
      <c r="D824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Master'!$F:$F,B824),"")</f>
        <v>0.41</v>
      </c>
      <c r="E824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Master'!$F:$F,B824),"")</f>
        <v>0.41</v>
      </c>
      <c r="F824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Master'!$F:$F,B824),"")</f>
        <v>7.3999999999999996E-2</v>
      </c>
      <c r="G824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Master'!$F:$F,B824),"")</f>
        <v>143</v>
      </c>
      <c r="H824">
        <f>IF(AND(ISNUMBER(C824),C824&gt;='Bulk Calculator'!U72/('Bulk Calculator'!J72*'Bulk Calculator'!L72)),1,0)</f>
        <v>1</v>
      </c>
      <c r="I824">
        <f>IFERROR(IF(AND(ISNUMBER(E824),ISNUMBER(F824),E824&gt;0,F824&gt;0),SQRT(3)*'Bulk Calculator'!O72*'Bulk Calculator'!AA72*((E824*'Bulk Calculator'!Q72)+(F824*SQRT(1-'Bulk Calculator'!Q72^2)))/'Bulk Calculator'!J72/'Bulk Calculator'!K72*100,D824*'Bulk Calculator'!AA72*'Bulk Calculator'!O72/'Bulk Calculator'!J72/'Bulk Calculator'!K72*100),"")</f>
        <v>0</v>
      </c>
      <c r="J824">
        <f>IFERROR(IF(AND(ISNUMBER(E824),ISNUMBER(F824),E824&gt;0,F824&gt;0),SQRT(3)*'Bulk Calculator'!O72*'Bulk Calculator'!U72*((E824*'Bulk Calculator'!M72)+(F824*SQRT(1-'Bulk Calculator'!M72^2)))/'Bulk Calculator'!J72/'Bulk Calculator'!K72*100,D824*'Bulk Calculator'!U72*'Bulk Calculator'!O72/'Bulk Calculator'!J72/'Bulk Calculator'!K72*100),"")</f>
        <v>0</v>
      </c>
      <c r="K824">
        <f>IFERROR(G824*B824*'Bulk Calculator'!J72/SQRT('Bulk Calculator'!S72)/1000,"")</f>
        <v>30.376983474334644</v>
      </c>
      <c r="L824">
        <f>IF(OR('Bulk Calculator'!R72="",'Bulk Calculator'!S72="",G824=""),0,IF(K824&gt;='Bulk Calculator'!R72,1,0))</f>
        <v>1</v>
      </c>
      <c r="M824">
        <f>IF(AND(H824=1,I824&lt;='OS-DORAEN'!$B$6,J824&lt;='OS-DORAEN'!$B$5,L824=1),1,0)</f>
        <v>1</v>
      </c>
      <c r="N824" t="str">
        <f t="shared" si="12"/>
        <v>R/X</v>
      </c>
    </row>
    <row r="825" spans="1:14" ht="15" customHeight="1" x14ac:dyDescent="0.35">
      <c r="A825">
        <v>72</v>
      </c>
      <c r="B825">
        <v>70</v>
      </c>
      <c r="C825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Master'!$F:$F,B825),"")</f>
        <v>179</v>
      </c>
      <c r="D825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Master'!$F:$F,B825),"")</f>
        <v>0.56699999999999995</v>
      </c>
      <c r="E825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Master'!$F:$F,B825),"")</f>
        <v>0.56699999999999995</v>
      </c>
      <c r="F825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Master'!$F:$F,B825),"")</f>
        <v>7.6999999999999999E-2</v>
      </c>
      <c r="G825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Master'!$F:$F,B825),"")</f>
        <v>143</v>
      </c>
      <c r="H825">
        <f>IF(AND(ISNUMBER(C825),C825&gt;='Bulk Calculator'!U72/('Bulk Calculator'!J72*'Bulk Calculator'!L72)),1,0)</f>
        <v>1</v>
      </c>
      <c r="I825">
        <f>IFERROR(IF(AND(ISNUMBER(E825),ISNUMBER(F825),E825&gt;0,F825&gt;0),SQRT(3)*'Bulk Calculator'!O72*'Bulk Calculator'!AA72*((E825*'Bulk Calculator'!Q72)+(F825*SQRT(1-'Bulk Calculator'!Q72^2)))/'Bulk Calculator'!J72/'Bulk Calculator'!K72*100,D825*'Bulk Calculator'!AA72*'Bulk Calculator'!O72/'Bulk Calculator'!J72/'Bulk Calculator'!K72*100),"")</f>
        <v>0</v>
      </c>
      <c r="J825">
        <f>IFERROR(IF(AND(ISNUMBER(E825),ISNUMBER(F825),E825&gt;0,F825&gt;0),SQRT(3)*'Bulk Calculator'!O72*'Bulk Calculator'!U72*((E825*'Bulk Calculator'!M72)+(F825*SQRT(1-'Bulk Calculator'!M72^2)))/'Bulk Calculator'!J72/'Bulk Calculator'!K72*100,D825*'Bulk Calculator'!U72*'Bulk Calculator'!O72/'Bulk Calculator'!J72/'Bulk Calculator'!K72*100),"")</f>
        <v>0</v>
      </c>
      <c r="K825">
        <f>IFERROR(G825*B825*'Bulk Calculator'!J72/SQRT('Bulk Calculator'!S72)/1000,"")</f>
        <v>22.383040454772893</v>
      </c>
      <c r="L825">
        <f>IF(OR('Bulk Calculator'!R72="",'Bulk Calculator'!S72="",G825=""),0,IF(K825&gt;='Bulk Calculator'!R72,1,0))</f>
        <v>1</v>
      </c>
      <c r="M825">
        <f>IF(AND(H825=1,I825&lt;='OS-DORAEN'!$B$6,J825&lt;='OS-DORAEN'!$B$5,L825=1),1,0)</f>
        <v>1</v>
      </c>
      <c r="N825" t="str">
        <f t="shared" si="12"/>
        <v>R/X</v>
      </c>
    </row>
    <row r="826" spans="1:14" ht="15" customHeight="1" x14ac:dyDescent="0.35">
      <c r="A826">
        <v>72</v>
      </c>
      <c r="B826">
        <v>50</v>
      </c>
      <c r="C826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Master'!$F:$F,B826),"")</f>
        <v>142</v>
      </c>
      <c r="D826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Master'!$F:$F,B826),"")</f>
        <v>0.82</v>
      </c>
      <c r="E826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Master'!$F:$F,B826),"")</f>
        <v>0.82</v>
      </c>
      <c r="F826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Master'!$F:$F,B826),"")</f>
        <v>7.8E-2</v>
      </c>
      <c r="G826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Master'!$F:$F,B826),"")</f>
        <v>143</v>
      </c>
      <c r="H826">
        <f>IF(AND(ISNUMBER(C826),C826&gt;='Bulk Calculator'!U72/('Bulk Calculator'!J72*'Bulk Calculator'!L72)),1,0)</f>
        <v>1</v>
      </c>
      <c r="I826">
        <f>IFERROR(IF(AND(ISNUMBER(E826),ISNUMBER(F826),E826&gt;0,F826&gt;0),SQRT(3)*'Bulk Calculator'!O72*'Bulk Calculator'!AA72*((E826*'Bulk Calculator'!Q72)+(F826*SQRT(1-'Bulk Calculator'!Q72^2)))/'Bulk Calculator'!J72/'Bulk Calculator'!K72*100,D826*'Bulk Calculator'!AA72*'Bulk Calculator'!O72/'Bulk Calculator'!J72/'Bulk Calculator'!K72*100),"")</f>
        <v>0</v>
      </c>
      <c r="J826">
        <f>IFERROR(IF(AND(ISNUMBER(E826),ISNUMBER(F826),E826&gt;0,F826&gt;0),SQRT(3)*'Bulk Calculator'!O72*'Bulk Calculator'!U72*((E826*'Bulk Calculator'!M72)+(F826*SQRT(1-'Bulk Calculator'!M72^2)))/'Bulk Calculator'!J72/'Bulk Calculator'!K72*100,D826*'Bulk Calculator'!U72*'Bulk Calculator'!O72/'Bulk Calculator'!J72/'Bulk Calculator'!K72*100),"")</f>
        <v>0</v>
      </c>
      <c r="K826">
        <f>IFERROR(G826*B826*'Bulk Calculator'!J72/SQRT('Bulk Calculator'!S72)/1000,"")</f>
        <v>15.987886039123497</v>
      </c>
      <c r="L826">
        <f>IF(OR('Bulk Calculator'!R72="",'Bulk Calculator'!S72="",G826=""),0,IF(K826&gt;='Bulk Calculator'!R72,1,0))</f>
        <v>1</v>
      </c>
      <c r="M826">
        <f>IF(AND(H826=1,I826&lt;='OS-DORAEN'!$B$6,J826&lt;='OS-DORAEN'!$B$5,L826=1),1,0)</f>
        <v>1</v>
      </c>
      <c r="N826" t="str">
        <f t="shared" si="12"/>
        <v>R/X</v>
      </c>
    </row>
    <row r="827" spans="1:14" ht="15" customHeight="1" x14ac:dyDescent="0.35">
      <c r="A827">
        <v>72</v>
      </c>
      <c r="B827">
        <v>35</v>
      </c>
      <c r="C827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Master'!$F:$F,B827),"")</f>
        <v>117</v>
      </c>
      <c r="D827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Master'!$F:$F,B827),"")</f>
        <v>1.1100000000000001</v>
      </c>
      <c r="E827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Master'!$F:$F,B827),"")</f>
        <v>1.1100000000000001</v>
      </c>
      <c r="F827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Master'!$F:$F,B827),"")</f>
        <v>0.08</v>
      </c>
      <c r="G827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Master'!$F:$F,B827),"")</f>
        <v>143</v>
      </c>
      <c r="H827">
        <f>IF(AND(ISNUMBER(C827),C827&gt;='Bulk Calculator'!U72/('Bulk Calculator'!J72*'Bulk Calculator'!L72)),1,0)</f>
        <v>1</v>
      </c>
      <c r="I827">
        <f>IFERROR(IF(AND(ISNUMBER(E827),ISNUMBER(F827),E827&gt;0,F827&gt;0),SQRT(3)*'Bulk Calculator'!O72*'Bulk Calculator'!AA72*((E827*'Bulk Calculator'!Q72)+(F827*SQRT(1-'Bulk Calculator'!Q72^2)))/'Bulk Calculator'!J72/'Bulk Calculator'!K72*100,D827*'Bulk Calculator'!AA72*'Bulk Calculator'!O72/'Bulk Calculator'!J72/'Bulk Calculator'!K72*100),"")</f>
        <v>0</v>
      </c>
      <c r="J827">
        <f>IFERROR(IF(AND(ISNUMBER(E827),ISNUMBER(F827),E827&gt;0,F827&gt;0),SQRT(3)*'Bulk Calculator'!O72*'Bulk Calculator'!U72*((E827*'Bulk Calculator'!M72)+(F827*SQRT(1-'Bulk Calculator'!M72^2)))/'Bulk Calculator'!J72/'Bulk Calculator'!K72*100,D827*'Bulk Calculator'!U72*'Bulk Calculator'!O72/'Bulk Calculator'!J72/'Bulk Calculator'!K72*100),"")</f>
        <v>0</v>
      </c>
      <c r="K827">
        <f>IFERROR(G827*B827*'Bulk Calculator'!J72/SQRT('Bulk Calculator'!S72)/1000,"")</f>
        <v>11.191520227386446</v>
      </c>
      <c r="L827">
        <f>IF(OR('Bulk Calculator'!R72="",'Bulk Calculator'!S72="",G827=""),0,IF(K827&gt;='Bulk Calculator'!R72,1,0))</f>
        <v>1</v>
      </c>
      <c r="M827">
        <f>IF(AND(H827=1,I827&lt;='OS-DORAEN'!$B$6,J827&lt;='OS-DORAEN'!$B$5,L827=1),1,0)</f>
        <v>1</v>
      </c>
      <c r="N827" t="str">
        <f t="shared" si="12"/>
        <v>R/X</v>
      </c>
    </row>
    <row r="828" spans="1:14" ht="15" customHeight="1" x14ac:dyDescent="0.35">
      <c r="A828">
        <v>72</v>
      </c>
      <c r="B828">
        <v>25</v>
      </c>
      <c r="C828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Master'!$F:$F,B828),"")</f>
        <v>96</v>
      </c>
      <c r="D828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Master'!$F:$F,B828),"")</f>
        <v>1.54</v>
      </c>
      <c r="E828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Master'!$F:$F,B828),"")</f>
        <v>1.54</v>
      </c>
      <c r="F828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Master'!$F:$F,B828),"")</f>
        <v>0.08</v>
      </c>
      <c r="G828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Master'!$F:$F,B828),"")</f>
        <v>143</v>
      </c>
      <c r="H828">
        <f>IF(AND(ISNUMBER(C828),C828&gt;='Bulk Calculator'!U72/('Bulk Calculator'!J72*'Bulk Calculator'!L72)),1,0)</f>
        <v>1</v>
      </c>
      <c r="I828">
        <f>IFERROR(IF(AND(ISNUMBER(E828),ISNUMBER(F828),E828&gt;0,F828&gt;0),SQRT(3)*'Bulk Calculator'!O72*'Bulk Calculator'!AA72*((E828*'Bulk Calculator'!Q72)+(F828*SQRT(1-'Bulk Calculator'!Q72^2)))/'Bulk Calculator'!J72/'Bulk Calculator'!K72*100,D828*'Bulk Calculator'!AA72*'Bulk Calculator'!O72/'Bulk Calculator'!J72/'Bulk Calculator'!K72*100),"")</f>
        <v>0</v>
      </c>
      <c r="J828">
        <f>IFERROR(IF(AND(ISNUMBER(E828),ISNUMBER(F828),E828&gt;0,F828&gt;0),SQRT(3)*'Bulk Calculator'!O72*'Bulk Calculator'!U72*((E828*'Bulk Calculator'!M72)+(F828*SQRT(1-'Bulk Calculator'!M72^2)))/'Bulk Calculator'!J72/'Bulk Calculator'!K72*100,D828*'Bulk Calculator'!U72*'Bulk Calculator'!O72/'Bulk Calculator'!J72/'Bulk Calculator'!K72*100),"")</f>
        <v>0</v>
      </c>
      <c r="K828">
        <f>IFERROR(G828*B828*'Bulk Calculator'!J72/SQRT('Bulk Calculator'!S72)/1000,"")</f>
        <v>7.9939430195617485</v>
      </c>
      <c r="L828">
        <f>IF(OR('Bulk Calculator'!R72="",'Bulk Calculator'!S72="",G828=""),0,IF(K828&gt;='Bulk Calculator'!R72,1,0))</f>
        <v>1</v>
      </c>
      <c r="M828">
        <f>IF(AND(H828=1,I828&lt;='OS-DORAEN'!$B$6,J828&lt;='OS-DORAEN'!$B$5,L828=1),1,0)</f>
        <v>1</v>
      </c>
      <c r="N828" t="str">
        <f t="shared" si="12"/>
        <v>R/X</v>
      </c>
    </row>
    <row r="829" spans="1:14" ht="15" customHeight="1" x14ac:dyDescent="0.35">
      <c r="A829">
        <v>72</v>
      </c>
      <c r="B829">
        <v>16</v>
      </c>
      <c r="C829">
        <f>IFERROR(SUMIFS('Cable Data Master'!$G:$G,'Cable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Master'!$F:$F,B829),"")</f>
        <v>0</v>
      </c>
      <c r="D829">
        <f>IFERROR(SUMIFS('Cable Data Master'!$K:$K,'Cable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Master'!$F:$F,B829),"")</f>
        <v>0</v>
      </c>
      <c r="E829">
        <f>IFERROR(SUMIFS('Cable Data Master'!$H:$H,'Cable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Master'!$F:$F,B829),"")</f>
        <v>0</v>
      </c>
      <c r="F829">
        <f>IFERROR(SUMIFS('Cable Data Master'!$I:$I,'Cable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Master'!$F:$F,B829),"")</f>
        <v>0</v>
      </c>
      <c r="G829">
        <f>IFERROR(SUMIFS('Cable Data Master'!$J:$J,'Cable Data Master'!$A:$A,'Bulk Calculator'!$BF72,'Cable Data Master'!$B:$B,'Bulk Calculator'!$BG72,'Cable Data Master'!$C:$C,'Bulk Calculator'!$BH72,'Cable Data Master'!$D:$D,'Bulk Calculator'!$BI72,'Cable Data Master'!$E:$E,'Bulk Calculator'!$BJ72,'Cable Data Master'!$F:$F,B829),"")</f>
        <v>0</v>
      </c>
      <c r="H829">
        <f>IF(AND(ISNUMBER(C829),C829&gt;='Bulk Calculator'!U72/('Bulk Calculator'!J72*'Bulk Calculator'!L72)),1,0)</f>
        <v>1</v>
      </c>
      <c r="I829">
        <f>IFERROR(IF(AND(ISNUMBER(E829),ISNUMBER(F829),E829&gt;0,F829&gt;0),SQRT(3)*'Bulk Calculator'!O72*'Bulk Calculator'!AA72*((E829*'Bulk Calculator'!Q72)+(F829*SQRT(1-'Bulk Calculator'!Q72^2)))/'Bulk Calculator'!J72/'Bulk Calculator'!K72*100,D829*'Bulk Calculator'!AA72*'Bulk Calculator'!O72/'Bulk Calculator'!J72/'Bulk Calculator'!K72*100),"")</f>
        <v>0</v>
      </c>
      <c r="J829">
        <f>IFERROR(IF(AND(ISNUMBER(E829),ISNUMBER(F829),E829&gt;0,F829&gt;0),SQRT(3)*'Bulk Calculator'!O72*'Bulk Calculator'!U72*((E829*'Bulk Calculator'!M72)+(F829*SQRT(1-'Bulk Calculator'!M72^2)))/'Bulk Calculator'!J72/'Bulk Calculator'!K72*100,D829*'Bulk Calculator'!U72*'Bulk Calculator'!O72/'Bulk Calculator'!J72/'Bulk Calculator'!K72*100),"")</f>
        <v>0</v>
      </c>
      <c r="K829">
        <f>IFERROR(G829*B829*'Bulk Calculator'!J72/SQRT('Bulk Calculator'!S72)/1000,"")</f>
        <v>0</v>
      </c>
      <c r="L829">
        <f>IF(OR('Bulk Calculator'!R72="",'Bulk Calculator'!S72="",G829=""),0,IF(K829&gt;='Bulk Calculator'!R72,1,0))</f>
        <v>1</v>
      </c>
      <c r="M829">
        <f>IF(AND(H829=1,I829&lt;='OS-DORAEN'!$B$6,J829&lt;='OS-DORAEN'!$B$5,L829=1),1,0)</f>
        <v>1</v>
      </c>
      <c r="N829" t="str">
        <f t="shared" si="12"/>
        <v>Manufacturer VD Ref</v>
      </c>
    </row>
    <row r="830" spans="1:14" ht="15" customHeight="1" x14ac:dyDescent="0.35">
      <c r="A830">
        <v>73</v>
      </c>
      <c r="B830">
        <v>400</v>
      </c>
      <c r="C830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Master'!$F:$F,B830),"")</f>
        <v>530</v>
      </c>
      <c r="D830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Master'!$F:$F,B830),"")</f>
        <v>0.1023</v>
      </c>
      <c r="E830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Master'!$F:$F,B830),"")</f>
        <v>0.1023</v>
      </c>
      <c r="F830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Master'!$F:$F,B830),"")</f>
        <v>7.0000000000000007E-2</v>
      </c>
      <c r="G830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Master'!$F:$F,B830),"")</f>
        <v>143</v>
      </c>
      <c r="H830">
        <f>IF(AND(ISNUMBER(C830),C830&gt;='Bulk Calculator'!U73/('Bulk Calculator'!J73*'Bulk Calculator'!L73)),1,0)</f>
        <v>1</v>
      </c>
      <c r="I830">
        <f>IFERROR(IF(AND(ISNUMBER(E830),ISNUMBER(F830),E830&gt;0,F830&gt;0),SQRT(3)*'Bulk Calculator'!O73*'Bulk Calculator'!AA73*((E830*'Bulk Calculator'!Q73)+(F830*SQRT(1-'Bulk Calculator'!Q73^2)))/'Bulk Calculator'!J73/'Bulk Calculator'!K73*100,D830*'Bulk Calculator'!AA73*'Bulk Calculator'!O73/'Bulk Calculator'!J73/'Bulk Calculator'!K73*100),"")</f>
        <v>0</v>
      </c>
      <c r="J830">
        <f>IFERROR(IF(AND(ISNUMBER(E830),ISNUMBER(F830),E830&gt;0,F830&gt;0),SQRT(3)*'Bulk Calculator'!O73*'Bulk Calculator'!U73*((E830*'Bulk Calculator'!M73)+(F830*SQRT(1-'Bulk Calculator'!M73^2)))/'Bulk Calculator'!J73/'Bulk Calculator'!K73*100,D830*'Bulk Calculator'!U73*'Bulk Calculator'!O73/'Bulk Calculator'!J73/'Bulk Calculator'!K73*100),"")</f>
        <v>0</v>
      </c>
      <c r="K830">
        <f>IFERROR(G830*B830*'Bulk Calculator'!J73/SQRT('Bulk Calculator'!S73)/1000,"")</f>
        <v>127.90308831298798</v>
      </c>
      <c r="L830">
        <f>IF(OR('Bulk Calculator'!R73="",'Bulk Calculator'!S73="",G830=""),0,IF(K830&gt;='Bulk Calculator'!R73,1,0))</f>
        <v>1</v>
      </c>
      <c r="M830">
        <f>IF(AND(H830=1,I830&lt;='OS-DORAEN'!$B$6,J830&lt;='OS-DORAEN'!$B$5,L830=1),1,0)</f>
        <v>1</v>
      </c>
      <c r="N830" t="str">
        <f t="shared" si="12"/>
        <v>R/X</v>
      </c>
    </row>
    <row r="831" spans="1:14" ht="15" customHeight="1" x14ac:dyDescent="0.35">
      <c r="A831">
        <v>73</v>
      </c>
      <c r="B831">
        <v>300</v>
      </c>
      <c r="C831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Master'!$F:$F,B831),"")</f>
        <v>455</v>
      </c>
      <c r="D831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Master'!$F:$F,B831),"")</f>
        <v>0.13</v>
      </c>
      <c r="E831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Master'!$F:$F,B831),"")</f>
        <v>0.13</v>
      </c>
      <c r="F831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Master'!$F:$F,B831),"")</f>
        <v>7.0999999999999994E-2</v>
      </c>
      <c r="G831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Master'!$F:$F,B831),"")</f>
        <v>143</v>
      </c>
      <c r="H831">
        <f>IF(AND(ISNUMBER(C831),C831&gt;='Bulk Calculator'!U73/('Bulk Calculator'!J73*'Bulk Calculator'!L73)),1,0)</f>
        <v>1</v>
      </c>
      <c r="I831">
        <f>IFERROR(IF(AND(ISNUMBER(E831),ISNUMBER(F831),E831&gt;0,F831&gt;0),SQRT(3)*'Bulk Calculator'!O73*'Bulk Calculator'!AA73*((E831*'Bulk Calculator'!Q73)+(F831*SQRT(1-'Bulk Calculator'!Q73^2)))/'Bulk Calculator'!J73/'Bulk Calculator'!K73*100,D831*'Bulk Calculator'!AA73*'Bulk Calculator'!O73/'Bulk Calculator'!J73/'Bulk Calculator'!K73*100),"")</f>
        <v>0</v>
      </c>
      <c r="J831">
        <f>IFERROR(IF(AND(ISNUMBER(E831),ISNUMBER(F831),E831&gt;0,F831&gt;0),SQRT(3)*'Bulk Calculator'!O73*'Bulk Calculator'!U73*((E831*'Bulk Calculator'!M73)+(F831*SQRT(1-'Bulk Calculator'!M73^2)))/'Bulk Calculator'!J73/'Bulk Calculator'!K73*100,D831*'Bulk Calculator'!U73*'Bulk Calculator'!O73/'Bulk Calculator'!J73/'Bulk Calculator'!K73*100),"")</f>
        <v>0</v>
      </c>
      <c r="K831">
        <f>IFERROR(G831*B831*'Bulk Calculator'!J73/SQRT('Bulk Calculator'!S73)/1000,"")</f>
        <v>95.927316234740985</v>
      </c>
      <c r="L831">
        <f>IF(OR('Bulk Calculator'!R73="",'Bulk Calculator'!S73="",G831=""),0,IF(K831&gt;='Bulk Calculator'!R73,1,0))</f>
        <v>1</v>
      </c>
      <c r="M831">
        <f>IF(AND(H831=1,I831&lt;='OS-DORAEN'!$B$6,J831&lt;='OS-DORAEN'!$B$5,L831=1),1,0)</f>
        <v>1</v>
      </c>
      <c r="N831" t="str">
        <f t="shared" si="12"/>
        <v>R/X</v>
      </c>
    </row>
    <row r="832" spans="1:14" ht="15" customHeight="1" x14ac:dyDescent="0.35">
      <c r="A832">
        <v>73</v>
      </c>
      <c r="B832">
        <v>240</v>
      </c>
      <c r="C832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Master'!$F:$F,B832),"")</f>
        <v>399</v>
      </c>
      <c r="D832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Master'!$F:$F,B832),"")</f>
        <v>0.16200000000000001</v>
      </c>
      <c r="E832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Master'!$F:$F,B832),"")</f>
        <v>0.16200000000000001</v>
      </c>
      <c r="F832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Master'!$F:$F,B832),"")</f>
        <v>7.1999999999999995E-2</v>
      </c>
      <c r="G832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Master'!$F:$F,B832),"")</f>
        <v>143</v>
      </c>
      <c r="H832">
        <f>IF(AND(ISNUMBER(C832),C832&gt;='Bulk Calculator'!U73/('Bulk Calculator'!J73*'Bulk Calculator'!L73)),1,0)</f>
        <v>1</v>
      </c>
      <c r="I832">
        <f>IFERROR(IF(AND(ISNUMBER(E832),ISNUMBER(F832),E832&gt;0,F832&gt;0),SQRT(3)*'Bulk Calculator'!O73*'Bulk Calculator'!AA73*((E832*'Bulk Calculator'!Q73)+(F832*SQRT(1-'Bulk Calculator'!Q73^2)))/'Bulk Calculator'!J73/'Bulk Calculator'!K73*100,D832*'Bulk Calculator'!AA73*'Bulk Calculator'!O73/'Bulk Calculator'!J73/'Bulk Calculator'!K73*100),"")</f>
        <v>0</v>
      </c>
      <c r="J832">
        <f>IFERROR(IF(AND(ISNUMBER(E832),ISNUMBER(F832),E832&gt;0,F832&gt;0),SQRT(3)*'Bulk Calculator'!O73*'Bulk Calculator'!U73*((E832*'Bulk Calculator'!M73)+(F832*SQRT(1-'Bulk Calculator'!M73^2)))/'Bulk Calculator'!J73/'Bulk Calculator'!K73*100,D832*'Bulk Calculator'!U73*'Bulk Calculator'!O73/'Bulk Calculator'!J73/'Bulk Calculator'!K73*100),"")</f>
        <v>0</v>
      </c>
      <c r="K832">
        <f>IFERROR(G832*B832*'Bulk Calculator'!J73/SQRT('Bulk Calculator'!S73)/1000,"")</f>
        <v>76.741852987792782</v>
      </c>
      <c r="L832">
        <f>IF(OR('Bulk Calculator'!R73="",'Bulk Calculator'!S73="",G832=""),0,IF(K832&gt;='Bulk Calculator'!R73,1,0))</f>
        <v>1</v>
      </c>
      <c r="M832">
        <f>IF(AND(H832=1,I832&lt;='OS-DORAEN'!$B$6,J832&lt;='OS-DORAEN'!$B$5,L832=1),1,0)</f>
        <v>1</v>
      </c>
      <c r="N832" t="str">
        <f t="shared" si="12"/>
        <v>R/X</v>
      </c>
    </row>
    <row r="833" spans="1:14" ht="15" customHeight="1" x14ac:dyDescent="0.35">
      <c r="A833">
        <v>73</v>
      </c>
      <c r="B833">
        <v>185</v>
      </c>
      <c r="C833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Master'!$F:$F,B833),"")</f>
        <v>337</v>
      </c>
      <c r="D833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Master'!$F:$F,B833),"")</f>
        <v>0.21099999999999999</v>
      </c>
      <c r="E833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Master'!$F:$F,B833),"")</f>
        <v>0.21099999999999999</v>
      </c>
      <c r="F833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Master'!$F:$F,B833),"")</f>
        <v>7.1999999999999995E-2</v>
      </c>
      <c r="G833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Master'!$F:$F,B833),"")</f>
        <v>143</v>
      </c>
      <c r="H833">
        <f>IF(AND(ISNUMBER(C833),C833&gt;='Bulk Calculator'!U73/('Bulk Calculator'!J73*'Bulk Calculator'!L73)),1,0)</f>
        <v>1</v>
      </c>
      <c r="I833">
        <f>IFERROR(IF(AND(ISNUMBER(E833),ISNUMBER(F833),E833&gt;0,F833&gt;0),SQRT(3)*'Bulk Calculator'!O73*'Bulk Calculator'!AA73*((E833*'Bulk Calculator'!Q73)+(F833*SQRT(1-'Bulk Calculator'!Q73^2)))/'Bulk Calculator'!J73/'Bulk Calculator'!K73*100,D833*'Bulk Calculator'!AA73*'Bulk Calculator'!O73/'Bulk Calculator'!J73/'Bulk Calculator'!K73*100),"")</f>
        <v>0</v>
      </c>
      <c r="J833">
        <f>IFERROR(IF(AND(ISNUMBER(E833),ISNUMBER(F833),E833&gt;0,F833&gt;0),SQRT(3)*'Bulk Calculator'!O73*'Bulk Calculator'!U73*((E833*'Bulk Calculator'!M73)+(F833*SQRT(1-'Bulk Calculator'!M73^2)))/'Bulk Calculator'!J73/'Bulk Calculator'!K73*100,D833*'Bulk Calculator'!U73*'Bulk Calculator'!O73/'Bulk Calculator'!J73/'Bulk Calculator'!K73*100),"")</f>
        <v>0</v>
      </c>
      <c r="K833">
        <f>IFERROR(G833*B833*'Bulk Calculator'!J73/SQRT('Bulk Calculator'!S73)/1000,"")</f>
        <v>59.155178344756941</v>
      </c>
      <c r="L833">
        <f>IF(OR('Bulk Calculator'!R73="",'Bulk Calculator'!S73="",G833=""),0,IF(K833&gt;='Bulk Calculator'!R73,1,0))</f>
        <v>1</v>
      </c>
      <c r="M833">
        <f>IF(AND(H833=1,I833&lt;='OS-DORAEN'!$B$6,J833&lt;='OS-DORAEN'!$B$5,L833=1),1,0)</f>
        <v>1</v>
      </c>
      <c r="N833" t="str">
        <f t="shared" si="12"/>
        <v>R/X</v>
      </c>
    </row>
    <row r="834" spans="1:14" ht="15" customHeight="1" x14ac:dyDescent="0.35">
      <c r="A834">
        <v>73</v>
      </c>
      <c r="B834">
        <v>150</v>
      </c>
      <c r="C834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Master'!$F:$F,B834),"")</f>
        <v>292</v>
      </c>
      <c r="D834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Master'!$F:$F,B834),"")</f>
        <v>0.26500000000000001</v>
      </c>
      <c r="E834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Master'!$F:$F,B834),"")</f>
        <v>0.26500000000000001</v>
      </c>
      <c r="F834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Master'!$F:$F,B834),"")</f>
        <v>7.1999999999999995E-2</v>
      </c>
      <c r="G834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Master'!$F:$F,B834),"")</f>
        <v>143</v>
      </c>
      <c r="H834">
        <f>IF(AND(ISNUMBER(C834),C834&gt;='Bulk Calculator'!U73/('Bulk Calculator'!J73*'Bulk Calculator'!L73)),1,0)</f>
        <v>1</v>
      </c>
      <c r="I834">
        <f>IFERROR(IF(AND(ISNUMBER(E834),ISNUMBER(F834),E834&gt;0,F834&gt;0),SQRT(3)*'Bulk Calculator'!O73*'Bulk Calculator'!AA73*((E834*'Bulk Calculator'!Q73)+(F834*SQRT(1-'Bulk Calculator'!Q73^2)))/'Bulk Calculator'!J73/'Bulk Calculator'!K73*100,D834*'Bulk Calculator'!AA73*'Bulk Calculator'!O73/'Bulk Calculator'!J73/'Bulk Calculator'!K73*100),"")</f>
        <v>0</v>
      </c>
      <c r="J834">
        <f>IFERROR(IF(AND(ISNUMBER(E834),ISNUMBER(F834),E834&gt;0,F834&gt;0),SQRT(3)*'Bulk Calculator'!O73*'Bulk Calculator'!U73*((E834*'Bulk Calculator'!M73)+(F834*SQRT(1-'Bulk Calculator'!M73^2)))/'Bulk Calculator'!J73/'Bulk Calculator'!K73*100,D834*'Bulk Calculator'!U73*'Bulk Calculator'!O73/'Bulk Calculator'!J73/'Bulk Calculator'!K73*100),"")</f>
        <v>0</v>
      </c>
      <c r="K834">
        <f>IFERROR(G834*B834*'Bulk Calculator'!J73/SQRT('Bulk Calculator'!S73)/1000,"")</f>
        <v>47.963658117370493</v>
      </c>
      <c r="L834">
        <f>IF(OR('Bulk Calculator'!R73="",'Bulk Calculator'!S73="",G834=""),0,IF(K834&gt;='Bulk Calculator'!R73,1,0))</f>
        <v>1</v>
      </c>
      <c r="M834">
        <f>IF(AND(H834=1,I834&lt;='OS-DORAEN'!$B$6,J834&lt;='OS-DORAEN'!$B$5,L834=1),1,0)</f>
        <v>1</v>
      </c>
      <c r="N834" t="str">
        <f t="shared" ref="N834:N897" si="13">IF(AND(ISNUMBER(E834),ISNUMBER(F834),E834&gt;0,F834&gt;0),"R/X","Manufacturer VD Ref")</f>
        <v>R/X</v>
      </c>
    </row>
    <row r="835" spans="1:14" ht="15" customHeight="1" x14ac:dyDescent="0.35">
      <c r="A835">
        <v>73</v>
      </c>
      <c r="B835">
        <v>120</v>
      </c>
      <c r="C835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Master'!$F:$F,B835),"")</f>
        <v>257</v>
      </c>
      <c r="D835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Master'!$F:$F,B835),"")</f>
        <v>0.32500000000000001</v>
      </c>
      <c r="E835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Master'!$F:$F,B835),"")</f>
        <v>0.32500000000000001</v>
      </c>
      <c r="F835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Master'!$F:$F,B835),"")</f>
        <v>7.1999999999999995E-2</v>
      </c>
      <c r="G835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Master'!$F:$F,B835),"")</f>
        <v>143</v>
      </c>
      <c r="H835">
        <f>IF(AND(ISNUMBER(C835),C835&gt;='Bulk Calculator'!U73/('Bulk Calculator'!J73*'Bulk Calculator'!L73)),1,0)</f>
        <v>1</v>
      </c>
      <c r="I835">
        <f>IFERROR(IF(AND(ISNUMBER(E835),ISNUMBER(F835),E835&gt;0,F835&gt;0),SQRT(3)*'Bulk Calculator'!O73*'Bulk Calculator'!AA73*((E835*'Bulk Calculator'!Q73)+(F835*SQRT(1-'Bulk Calculator'!Q73^2)))/'Bulk Calculator'!J73/'Bulk Calculator'!K73*100,D835*'Bulk Calculator'!AA73*'Bulk Calculator'!O73/'Bulk Calculator'!J73/'Bulk Calculator'!K73*100),"")</f>
        <v>0</v>
      </c>
      <c r="J835">
        <f>IFERROR(IF(AND(ISNUMBER(E835),ISNUMBER(F835),E835&gt;0,F835&gt;0),SQRT(3)*'Bulk Calculator'!O73*'Bulk Calculator'!U73*((E835*'Bulk Calculator'!M73)+(F835*SQRT(1-'Bulk Calculator'!M73^2)))/'Bulk Calculator'!J73/'Bulk Calculator'!K73*100,D835*'Bulk Calculator'!U73*'Bulk Calculator'!O73/'Bulk Calculator'!J73/'Bulk Calculator'!K73*100),"")</f>
        <v>0</v>
      </c>
      <c r="K835">
        <f>IFERROR(G835*B835*'Bulk Calculator'!J73/SQRT('Bulk Calculator'!S73)/1000,"")</f>
        <v>38.370926493896391</v>
      </c>
      <c r="L835">
        <f>IF(OR('Bulk Calculator'!R73="",'Bulk Calculator'!S73="",G835=""),0,IF(K835&gt;='Bulk Calculator'!R73,1,0))</f>
        <v>1</v>
      </c>
      <c r="M835">
        <f>IF(AND(H835=1,I835&lt;='OS-DORAEN'!$B$6,J835&lt;='OS-DORAEN'!$B$5,L835=1),1,0)</f>
        <v>1</v>
      </c>
      <c r="N835" t="str">
        <f t="shared" si="13"/>
        <v>R/X</v>
      </c>
    </row>
    <row r="836" spans="1:14" ht="15" customHeight="1" x14ac:dyDescent="0.35">
      <c r="A836">
        <v>73</v>
      </c>
      <c r="B836">
        <v>95</v>
      </c>
      <c r="C836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Master'!$F:$F,B836),"")</f>
        <v>221</v>
      </c>
      <c r="D836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Master'!$F:$F,B836),"")</f>
        <v>0.41</v>
      </c>
      <c r="E836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Master'!$F:$F,B836),"")</f>
        <v>0.41</v>
      </c>
      <c r="F836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Master'!$F:$F,B836),"")</f>
        <v>7.3999999999999996E-2</v>
      </c>
      <c r="G836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Master'!$F:$F,B836),"")</f>
        <v>143</v>
      </c>
      <c r="H836">
        <f>IF(AND(ISNUMBER(C836),C836&gt;='Bulk Calculator'!U73/('Bulk Calculator'!J73*'Bulk Calculator'!L73)),1,0)</f>
        <v>1</v>
      </c>
      <c r="I836">
        <f>IFERROR(IF(AND(ISNUMBER(E836),ISNUMBER(F836),E836&gt;0,F836&gt;0),SQRT(3)*'Bulk Calculator'!O73*'Bulk Calculator'!AA73*((E836*'Bulk Calculator'!Q73)+(F836*SQRT(1-'Bulk Calculator'!Q73^2)))/'Bulk Calculator'!J73/'Bulk Calculator'!K73*100,D836*'Bulk Calculator'!AA73*'Bulk Calculator'!O73/'Bulk Calculator'!J73/'Bulk Calculator'!K73*100),"")</f>
        <v>0</v>
      </c>
      <c r="J836">
        <f>IFERROR(IF(AND(ISNUMBER(E836),ISNUMBER(F836),E836&gt;0,F836&gt;0),SQRT(3)*'Bulk Calculator'!O73*'Bulk Calculator'!U73*((E836*'Bulk Calculator'!M73)+(F836*SQRT(1-'Bulk Calculator'!M73^2)))/'Bulk Calculator'!J73/'Bulk Calculator'!K73*100,D836*'Bulk Calculator'!U73*'Bulk Calculator'!O73/'Bulk Calculator'!J73/'Bulk Calculator'!K73*100),"")</f>
        <v>0</v>
      </c>
      <c r="K836">
        <f>IFERROR(G836*B836*'Bulk Calculator'!J73/SQRT('Bulk Calculator'!S73)/1000,"")</f>
        <v>30.376983474334644</v>
      </c>
      <c r="L836">
        <f>IF(OR('Bulk Calculator'!R73="",'Bulk Calculator'!S73="",G836=""),0,IF(K836&gt;='Bulk Calculator'!R73,1,0))</f>
        <v>1</v>
      </c>
      <c r="M836">
        <f>IF(AND(H836=1,I836&lt;='OS-DORAEN'!$B$6,J836&lt;='OS-DORAEN'!$B$5,L836=1),1,0)</f>
        <v>1</v>
      </c>
      <c r="N836" t="str">
        <f t="shared" si="13"/>
        <v>R/X</v>
      </c>
    </row>
    <row r="837" spans="1:14" ht="15" customHeight="1" x14ac:dyDescent="0.35">
      <c r="A837">
        <v>73</v>
      </c>
      <c r="B837">
        <v>70</v>
      </c>
      <c r="C837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Master'!$F:$F,B837),"")</f>
        <v>179</v>
      </c>
      <c r="D837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Master'!$F:$F,B837),"")</f>
        <v>0.56699999999999995</v>
      </c>
      <c r="E837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Master'!$F:$F,B837),"")</f>
        <v>0.56699999999999995</v>
      </c>
      <c r="F837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Master'!$F:$F,B837),"")</f>
        <v>7.6999999999999999E-2</v>
      </c>
      <c r="G837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Master'!$F:$F,B837),"")</f>
        <v>143</v>
      </c>
      <c r="H837">
        <f>IF(AND(ISNUMBER(C837),C837&gt;='Bulk Calculator'!U73/('Bulk Calculator'!J73*'Bulk Calculator'!L73)),1,0)</f>
        <v>1</v>
      </c>
      <c r="I837">
        <f>IFERROR(IF(AND(ISNUMBER(E837),ISNUMBER(F837),E837&gt;0,F837&gt;0),SQRT(3)*'Bulk Calculator'!O73*'Bulk Calculator'!AA73*((E837*'Bulk Calculator'!Q73)+(F837*SQRT(1-'Bulk Calculator'!Q73^2)))/'Bulk Calculator'!J73/'Bulk Calculator'!K73*100,D837*'Bulk Calculator'!AA73*'Bulk Calculator'!O73/'Bulk Calculator'!J73/'Bulk Calculator'!K73*100),"")</f>
        <v>0</v>
      </c>
      <c r="J837">
        <f>IFERROR(IF(AND(ISNUMBER(E837),ISNUMBER(F837),E837&gt;0,F837&gt;0),SQRT(3)*'Bulk Calculator'!O73*'Bulk Calculator'!U73*((E837*'Bulk Calculator'!M73)+(F837*SQRT(1-'Bulk Calculator'!M73^2)))/'Bulk Calculator'!J73/'Bulk Calculator'!K73*100,D837*'Bulk Calculator'!U73*'Bulk Calculator'!O73/'Bulk Calculator'!J73/'Bulk Calculator'!K73*100),"")</f>
        <v>0</v>
      </c>
      <c r="K837">
        <f>IFERROR(G837*B837*'Bulk Calculator'!J73/SQRT('Bulk Calculator'!S73)/1000,"")</f>
        <v>22.383040454772893</v>
      </c>
      <c r="L837">
        <f>IF(OR('Bulk Calculator'!R73="",'Bulk Calculator'!S73="",G837=""),0,IF(K837&gt;='Bulk Calculator'!R73,1,0))</f>
        <v>1</v>
      </c>
      <c r="M837">
        <f>IF(AND(H837=1,I837&lt;='OS-DORAEN'!$B$6,J837&lt;='OS-DORAEN'!$B$5,L837=1),1,0)</f>
        <v>1</v>
      </c>
      <c r="N837" t="str">
        <f t="shared" si="13"/>
        <v>R/X</v>
      </c>
    </row>
    <row r="838" spans="1:14" ht="15" customHeight="1" x14ac:dyDescent="0.35">
      <c r="A838">
        <v>73</v>
      </c>
      <c r="B838">
        <v>50</v>
      </c>
      <c r="C838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Master'!$F:$F,B838),"")</f>
        <v>142</v>
      </c>
      <c r="D838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Master'!$F:$F,B838),"")</f>
        <v>0.82</v>
      </c>
      <c r="E838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Master'!$F:$F,B838),"")</f>
        <v>0.82</v>
      </c>
      <c r="F838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Master'!$F:$F,B838),"")</f>
        <v>7.8E-2</v>
      </c>
      <c r="G838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Master'!$F:$F,B838),"")</f>
        <v>143</v>
      </c>
      <c r="H838">
        <f>IF(AND(ISNUMBER(C838),C838&gt;='Bulk Calculator'!U73/('Bulk Calculator'!J73*'Bulk Calculator'!L73)),1,0)</f>
        <v>1</v>
      </c>
      <c r="I838">
        <f>IFERROR(IF(AND(ISNUMBER(E838),ISNUMBER(F838),E838&gt;0,F838&gt;0),SQRT(3)*'Bulk Calculator'!O73*'Bulk Calculator'!AA73*((E838*'Bulk Calculator'!Q73)+(F838*SQRT(1-'Bulk Calculator'!Q73^2)))/'Bulk Calculator'!J73/'Bulk Calculator'!K73*100,D838*'Bulk Calculator'!AA73*'Bulk Calculator'!O73/'Bulk Calculator'!J73/'Bulk Calculator'!K73*100),"")</f>
        <v>0</v>
      </c>
      <c r="J838">
        <f>IFERROR(IF(AND(ISNUMBER(E838),ISNUMBER(F838),E838&gt;0,F838&gt;0),SQRT(3)*'Bulk Calculator'!O73*'Bulk Calculator'!U73*((E838*'Bulk Calculator'!M73)+(F838*SQRT(1-'Bulk Calculator'!M73^2)))/'Bulk Calculator'!J73/'Bulk Calculator'!K73*100,D838*'Bulk Calculator'!U73*'Bulk Calculator'!O73/'Bulk Calculator'!J73/'Bulk Calculator'!K73*100),"")</f>
        <v>0</v>
      </c>
      <c r="K838">
        <f>IFERROR(G838*B838*'Bulk Calculator'!J73/SQRT('Bulk Calculator'!S73)/1000,"")</f>
        <v>15.987886039123497</v>
      </c>
      <c r="L838">
        <f>IF(OR('Bulk Calculator'!R73="",'Bulk Calculator'!S73="",G838=""),0,IF(K838&gt;='Bulk Calculator'!R73,1,0))</f>
        <v>1</v>
      </c>
      <c r="M838">
        <f>IF(AND(H838=1,I838&lt;='OS-DORAEN'!$B$6,J838&lt;='OS-DORAEN'!$B$5,L838=1),1,0)</f>
        <v>1</v>
      </c>
      <c r="N838" t="str">
        <f t="shared" si="13"/>
        <v>R/X</v>
      </c>
    </row>
    <row r="839" spans="1:14" ht="15" customHeight="1" x14ac:dyDescent="0.35">
      <c r="A839">
        <v>73</v>
      </c>
      <c r="B839">
        <v>35</v>
      </c>
      <c r="C839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Master'!$F:$F,B839),"")</f>
        <v>117</v>
      </c>
      <c r="D839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Master'!$F:$F,B839),"")</f>
        <v>1.1100000000000001</v>
      </c>
      <c r="E839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Master'!$F:$F,B839),"")</f>
        <v>1.1100000000000001</v>
      </c>
      <c r="F839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Master'!$F:$F,B839),"")</f>
        <v>0.08</v>
      </c>
      <c r="G839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Master'!$F:$F,B839),"")</f>
        <v>143</v>
      </c>
      <c r="H839">
        <f>IF(AND(ISNUMBER(C839),C839&gt;='Bulk Calculator'!U73/('Bulk Calculator'!J73*'Bulk Calculator'!L73)),1,0)</f>
        <v>1</v>
      </c>
      <c r="I839">
        <f>IFERROR(IF(AND(ISNUMBER(E839),ISNUMBER(F839),E839&gt;0,F839&gt;0),SQRT(3)*'Bulk Calculator'!O73*'Bulk Calculator'!AA73*((E839*'Bulk Calculator'!Q73)+(F839*SQRT(1-'Bulk Calculator'!Q73^2)))/'Bulk Calculator'!J73/'Bulk Calculator'!K73*100,D839*'Bulk Calculator'!AA73*'Bulk Calculator'!O73/'Bulk Calculator'!J73/'Bulk Calculator'!K73*100),"")</f>
        <v>0</v>
      </c>
      <c r="J839">
        <f>IFERROR(IF(AND(ISNUMBER(E839),ISNUMBER(F839),E839&gt;0,F839&gt;0),SQRT(3)*'Bulk Calculator'!O73*'Bulk Calculator'!U73*((E839*'Bulk Calculator'!M73)+(F839*SQRT(1-'Bulk Calculator'!M73^2)))/'Bulk Calculator'!J73/'Bulk Calculator'!K73*100,D839*'Bulk Calculator'!U73*'Bulk Calculator'!O73/'Bulk Calculator'!J73/'Bulk Calculator'!K73*100),"")</f>
        <v>0</v>
      </c>
      <c r="K839">
        <f>IFERROR(G839*B839*'Bulk Calculator'!J73/SQRT('Bulk Calculator'!S73)/1000,"")</f>
        <v>11.191520227386446</v>
      </c>
      <c r="L839">
        <f>IF(OR('Bulk Calculator'!R73="",'Bulk Calculator'!S73="",G839=""),0,IF(K839&gt;='Bulk Calculator'!R73,1,0))</f>
        <v>1</v>
      </c>
      <c r="M839">
        <f>IF(AND(H839=1,I839&lt;='OS-DORAEN'!$B$6,J839&lt;='OS-DORAEN'!$B$5,L839=1),1,0)</f>
        <v>1</v>
      </c>
      <c r="N839" t="str">
        <f t="shared" si="13"/>
        <v>R/X</v>
      </c>
    </row>
    <row r="840" spans="1:14" ht="15" customHeight="1" x14ac:dyDescent="0.35">
      <c r="A840">
        <v>73</v>
      </c>
      <c r="B840">
        <v>25</v>
      </c>
      <c r="C840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Master'!$F:$F,B840),"")</f>
        <v>96</v>
      </c>
      <c r="D840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Master'!$F:$F,B840),"")</f>
        <v>1.54</v>
      </c>
      <c r="E840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Master'!$F:$F,B840),"")</f>
        <v>1.54</v>
      </c>
      <c r="F840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Master'!$F:$F,B840),"")</f>
        <v>0.08</v>
      </c>
      <c r="G840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Master'!$F:$F,B840),"")</f>
        <v>143</v>
      </c>
      <c r="H840">
        <f>IF(AND(ISNUMBER(C840),C840&gt;='Bulk Calculator'!U73/('Bulk Calculator'!J73*'Bulk Calculator'!L73)),1,0)</f>
        <v>1</v>
      </c>
      <c r="I840">
        <f>IFERROR(IF(AND(ISNUMBER(E840),ISNUMBER(F840),E840&gt;0,F840&gt;0),SQRT(3)*'Bulk Calculator'!O73*'Bulk Calculator'!AA73*((E840*'Bulk Calculator'!Q73)+(F840*SQRT(1-'Bulk Calculator'!Q73^2)))/'Bulk Calculator'!J73/'Bulk Calculator'!K73*100,D840*'Bulk Calculator'!AA73*'Bulk Calculator'!O73/'Bulk Calculator'!J73/'Bulk Calculator'!K73*100),"")</f>
        <v>0</v>
      </c>
      <c r="J840">
        <f>IFERROR(IF(AND(ISNUMBER(E840),ISNUMBER(F840),E840&gt;0,F840&gt;0),SQRT(3)*'Bulk Calculator'!O73*'Bulk Calculator'!U73*((E840*'Bulk Calculator'!M73)+(F840*SQRT(1-'Bulk Calculator'!M73^2)))/'Bulk Calculator'!J73/'Bulk Calculator'!K73*100,D840*'Bulk Calculator'!U73*'Bulk Calculator'!O73/'Bulk Calculator'!J73/'Bulk Calculator'!K73*100),"")</f>
        <v>0</v>
      </c>
      <c r="K840">
        <f>IFERROR(G840*B840*'Bulk Calculator'!J73/SQRT('Bulk Calculator'!S73)/1000,"")</f>
        <v>7.9939430195617485</v>
      </c>
      <c r="L840">
        <f>IF(OR('Bulk Calculator'!R73="",'Bulk Calculator'!S73="",G840=""),0,IF(K840&gt;='Bulk Calculator'!R73,1,0))</f>
        <v>1</v>
      </c>
      <c r="M840">
        <f>IF(AND(H840=1,I840&lt;='OS-DORAEN'!$B$6,J840&lt;='OS-DORAEN'!$B$5,L840=1),1,0)</f>
        <v>1</v>
      </c>
      <c r="N840" t="str">
        <f t="shared" si="13"/>
        <v>R/X</v>
      </c>
    </row>
    <row r="841" spans="1:14" ht="15" customHeight="1" x14ac:dyDescent="0.35">
      <c r="A841">
        <v>73</v>
      </c>
      <c r="B841">
        <v>16</v>
      </c>
      <c r="C841">
        <f>IFERROR(SUMIFS('Cable Data Master'!$G:$G,'Cable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Master'!$F:$F,B841),"")</f>
        <v>0</v>
      </c>
      <c r="D841">
        <f>IFERROR(SUMIFS('Cable Data Master'!$K:$K,'Cable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Master'!$F:$F,B841),"")</f>
        <v>0</v>
      </c>
      <c r="E841">
        <f>IFERROR(SUMIFS('Cable Data Master'!$H:$H,'Cable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Master'!$F:$F,B841),"")</f>
        <v>0</v>
      </c>
      <c r="F841">
        <f>IFERROR(SUMIFS('Cable Data Master'!$I:$I,'Cable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Master'!$F:$F,B841),"")</f>
        <v>0</v>
      </c>
      <c r="G841">
        <f>IFERROR(SUMIFS('Cable Data Master'!$J:$J,'Cable Data Master'!$A:$A,'Bulk Calculator'!$BF73,'Cable Data Master'!$B:$B,'Bulk Calculator'!$BG73,'Cable Data Master'!$C:$C,'Bulk Calculator'!$BH73,'Cable Data Master'!$D:$D,'Bulk Calculator'!$BI73,'Cable Data Master'!$E:$E,'Bulk Calculator'!$BJ73,'Cable Data Master'!$F:$F,B841),"")</f>
        <v>0</v>
      </c>
      <c r="H841">
        <f>IF(AND(ISNUMBER(C841),C841&gt;='Bulk Calculator'!U73/('Bulk Calculator'!J73*'Bulk Calculator'!L73)),1,0)</f>
        <v>1</v>
      </c>
      <c r="I841">
        <f>IFERROR(IF(AND(ISNUMBER(E841),ISNUMBER(F841),E841&gt;0,F841&gt;0),SQRT(3)*'Bulk Calculator'!O73*'Bulk Calculator'!AA73*((E841*'Bulk Calculator'!Q73)+(F841*SQRT(1-'Bulk Calculator'!Q73^2)))/'Bulk Calculator'!J73/'Bulk Calculator'!K73*100,D841*'Bulk Calculator'!AA73*'Bulk Calculator'!O73/'Bulk Calculator'!J73/'Bulk Calculator'!K73*100),"")</f>
        <v>0</v>
      </c>
      <c r="J841">
        <f>IFERROR(IF(AND(ISNUMBER(E841),ISNUMBER(F841),E841&gt;0,F841&gt;0),SQRT(3)*'Bulk Calculator'!O73*'Bulk Calculator'!U73*((E841*'Bulk Calculator'!M73)+(F841*SQRT(1-'Bulk Calculator'!M73^2)))/'Bulk Calculator'!J73/'Bulk Calculator'!K73*100,D841*'Bulk Calculator'!U73*'Bulk Calculator'!O73/'Bulk Calculator'!J73/'Bulk Calculator'!K73*100),"")</f>
        <v>0</v>
      </c>
      <c r="K841">
        <f>IFERROR(G841*B841*'Bulk Calculator'!J73/SQRT('Bulk Calculator'!S73)/1000,"")</f>
        <v>0</v>
      </c>
      <c r="L841">
        <f>IF(OR('Bulk Calculator'!R73="",'Bulk Calculator'!S73="",G841=""),0,IF(K841&gt;='Bulk Calculator'!R73,1,0))</f>
        <v>1</v>
      </c>
      <c r="M841">
        <f>IF(AND(H841=1,I841&lt;='OS-DORAEN'!$B$6,J841&lt;='OS-DORAEN'!$B$5,L841=1),1,0)</f>
        <v>1</v>
      </c>
      <c r="N841" t="str">
        <f t="shared" si="13"/>
        <v>Manufacturer VD Ref</v>
      </c>
    </row>
    <row r="842" spans="1:14" ht="15" customHeight="1" x14ac:dyDescent="0.35">
      <c r="A842">
        <v>74</v>
      </c>
      <c r="B842">
        <v>400</v>
      </c>
      <c r="C842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Master'!$F:$F,B842),"")</f>
        <v>530</v>
      </c>
      <c r="D842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Master'!$F:$F,B842),"")</f>
        <v>0.1023</v>
      </c>
      <c r="E842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Master'!$F:$F,B842),"")</f>
        <v>0.1023</v>
      </c>
      <c r="F842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Master'!$F:$F,B842),"")</f>
        <v>7.0000000000000007E-2</v>
      </c>
      <c r="G842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Master'!$F:$F,B842),"")</f>
        <v>143</v>
      </c>
      <c r="H842">
        <f>IF(AND(ISNUMBER(C842),C842&gt;='Bulk Calculator'!U74/('Bulk Calculator'!J74*'Bulk Calculator'!L74)),1,0)</f>
        <v>1</v>
      </c>
      <c r="I842">
        <f>IFERROR(IF(AND(ISNUMBER(E842),ISNUMBER(F842),E842&gt;0,F842&gt;0),SQRT(3)*'Bulk Calculator'!O74*'Bulk Calculator'!AA74*((E842*'Bulk Calculator'!Q74)+(F842*SQRT(1-'Bulk Calculator'!Q74^2)))/'Bulk Calculator'!J74/'Bulk Calculator'!K74*100,D842*'Bulk Calculator'!AA74*'Bulk Calculator'!O74/'Bulk Calculator'!J74/'Bulk Calculator'!K74*100),"")</f>
        <v>0</v>
      </c>
      <c r="J842">
        <f>IFERROR(IF(AND(ISNUMBER(E842),ISNUMBER(F842),E842&gt;0,F842&gt;0),SQRT(3)*'Bulk Calculator'!O74*'Bulk Calculator'!U74*((E842*'Bulk Calculator'!M74)+(F842*SQRT(1-'Bulk Calculator'!M74^2)))/'Bulk Calculator'!J74/'Bulk Calculator'!K74*100,D842*'Bulk Calculator'!U74*'Bulk Calculator'!O74/'Bulk Calculator'!J74/'Bulk Calculator'!K74*100),"")</f>
        <v>0</v>
      </c>
      <c r="K842">
        <f>IFERROR(G842*B842*'Bulk Calculator'!J74/SQRT('Bulk Calculator'!S74)/1000,"")</f>
        <v>127.90308831298798</v>
      </c>
      <c r="L842">
        <f>IF(OR('Bulk Calculator'!R74="",'Bulk Calculator'!S74="",G842=""),0,IF(K842&gt;='Bulk Calculator'!R74,1,0))</f>
        <v>1</v>
      </c>
      <c r="M842">
        <f>IF(AND(H842=1,I842&lt;='OS-DORAEN'!$B$6,J842&lt;='OS-DORAEN'!$B$5,L842=1),1,0)</f>
        <v>1</v>
      </c>
      <c r="N842" t="str">
        <f t="shared" si="13"/>
        <v>R/X</v>
      </c>
    </row>
    <row r="843" spans="1:14" ht="15" customHeight="1" x14ac:dyDescent="0.35">
      <c r="A843">
        <v>74</v>
      </c>
      <c r="B843">
        <v>300</v>
      </c>
      <c r="C843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Master'!$F:$F,B843),"")</f>
        <v>455</v>
      </c>
      <c r="D843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Master'!$F:$F,B843),"")</f>
        <v>0.13</v>
      </c>
      <c r="E843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Master'!$F:$F,B843),"")</f>
        <v>0.13</v>
      </c>
      <c r="F843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Master'!$F:$F,B843),"")</f>
        <v>7.0999999999999994E-2</v>
      </c>
      <c r="G843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Master'!$F:$F,B843),"")</f>
        <v>143</v>
      </c>
      <c r="H843">
        <f>IF(AND(ISNUMBER(C843),C843&gt;='Bulk Calculator'!U74/('Bulk Calculator'!J74*'Bulk Calculator'!L74)),1,0)</f>
        <v>1</v>
      </c>
      <c r="I843">
        <f>IFERROR(IF(AND(ISNUMBER(E843),ISNUMBER(F843),E843&gt;0,F843&gt;0),SQRT(3)*'Bulk Calculator'!O74*'Bulk Calculator'!AA74*((E843*'Bulk Calculator'!Q74)+(F843*SQRT(1-'Bulk Calculator'!Q74^2)))/'Bulk Calculator'!J74/'Bulk Calculator'!K74*100,D843*'Bulk Calculator'!AA74*'Bulk Calculator'!O74/'Bulk Calculator'!J74/'Bulk Calculator'!K74*100),"")</f>
        <v>0</v>
      </c>
      <c r="J843">
        <f>IFERROR(IF(AND(ISNUMBER(E843),ISNUMBER(F843),E843&gt;0,F843&gt;0),SQRT(3)*'Bulk Calculator'!O74*'Bulk Calculator'!U74*((E843*'Bulk Calculator'!M74)+(F843*SQRT(1-'Bulk Calculator'!M74^2)))/'Bulk Calculator'!J74/'Bulk Calculator'!K74*100,D843*'Bulk Calculator'!U74*'Bulk Calculator'!O74/'Bulk Calculator'!J74/'Bulk Calculator'!K74*100),"")</f>
        <v>0</v>
      </c>
      <c r="K843">
        <f>IFERROR(G843*B843*'Bulk Calculator'!J74/SQRT('Bulk Calculator'!S74)/1000,"")</f>
        <v>95.927316234740985</v>
      </c>
      <c r="L843">
        <f>IF(OR('Bulk Calculator'!R74="",'Bulk Calculator'!S74="",G843=""),0,IF(K843&gt;='Bulk Calculator'!R74,1,0))</f>
        <v>1</v>
      </c>
      <c r="M843">
        <f>IF(AND(H843=1,I843&lt;='OS-DORAEN'!$B$6,J843&lt;='OS-DORAEN'!$B$5,L843=1),1,0)</f>
        <v>1</v>
      </c>
      <c r="N843" t="str">
        <f t="shared" si="13"/>
        <v>R/X</v>
      </c>
    </row>
    <row r="844" spans="1:14" ht="15" customHeight="1" x14ac:dyDescent="0.35">
      <c r="A844">
        <v>74</v>
      </c>
      <c r="B844">
        <v>240</v>
      </c>
      <c r="C844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Master'!$F:$F,B844),"")</f>
        <v>399</v>
      </c>
      <c r="D844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Master'!$F:$F,B844),"")</f>
        <v>0.16200000000000001</v>
      </c>
      <c r="E844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Master'!$F:$F,B844),"")</f>
        <v>0.16200000000000001</v>
      </c>
      <c r="F844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Master'!$F:$F,B844),"")</f>
        <v>7.1999999999999995E-2</v>
      </c>
      <c r="G844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Master'!$F:$F,B844),"")</f>
        <v>143</v>
      </c>
      <c r="H844">
        <f>IF(AND(ISNUMBER(C844),C844&gt;='Bulk Calculator'!U74/('Bulk Calculator'!J74*'Bulk Calculator'!L74)),1,0)</f>
        <v>1</v>
      </c>
      <c r="I844">
        <f>IFERROR(IF(AND(ISNUMBER(E844),ISNUMBER(F844),E844&gt;0,F844&gt;0),SQRT(3)*'Bulk Calculator'!O74*'Bulk Calculator'!AA74*((E844*'Bulk Calculator'!Q74)+(F844*SQRT(1-'Bulk Calculator'!Q74^2)))/'Bulk Calculator'!J74/'Bulk Calculator'!K74*100,D844*'Bulk Calculator'!AA74*'Bulk Calculator'!O74/'Bulk Calculator'!J74/'Bulk Calculator'!K74*100),"")</f>
        <v>0</v>
      </c>
      <c r="J844">
        <f>IFERROR(IF(AND(ISNUMBER(E844),ISNUMBER(F844),E844&gt;0,F844&gt;0),SQRT(3)*'Bulk Calculator'!O74*'Bulk Calculator'!U74*((E844*'Bulk Calculator'!M74)+(F844*SQRT(1-'Bulk Calculator'!M74^2)))/'Bulk Calculator'!J74/'Bulk Calculator'!K74*100,D844*'Bulk Calculator'!U74*'Bulk Calculator'!O74/'Bulk Calculator'!J74/'Bulk Calculator'!K74*100),"")</f>
        <v>0</v>
      </c>
      <c r="K844">
        <f>IFERROR(G844*B844*'Bulk Calculator'!J74/SQRT('Bulk Calculator'!S74)/1000,"")</f>
        <v>76.741852987792782</v>
      </c>
      <c r="L844">
        <f>IF(OR('Bulk Calculator'!R74="",'Bulk Calculator'!S74="",G844=""),0,IF(K844&gt;='Bulk Calculator'!R74,1,0))</f>
        <v>1</v>
      </c>
      <c r="M844">
        <f>IF(AND(H844=1,I844&lt;='OS-DORAEN'!$B$6,J844&lt;='OS-DORAEN'!$B$5,L844=1),1,0)</f>
        <v>1</v>
      </c>
      <c r="N844" t="str">
        <f t="shared" si="13"/>
        <v>R/X</v>
      </c>
    </row>
    <row r="845" spans="1:14" ht="15" customHeight="1" x14ac:dyDescent="0.35">
      <c r="A845">
        <v>74</v>
      </c>
      <c r="B845">
        <v>185</v>
      </c>
      <c r="C845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Master'!$F:$F,B845),"")</f>
        <v>337</v>
      </c>
      <c r="D845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Master'!$F:$F,B845),"")</f>
        <v>0.21099999999999999</v>
      </c>
      <c r="E845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Master'!$F:$F,B845),"")</f>
        <v>0.21099999999999999</v>
      </c>
      <c r="F845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Master'!$F:$F,B845),"")</f>
        <v>7.1999999999999995E-2</v>
      </c>
      <c r="G845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Master'!$F:$F,B845),"")</f>
        <v>143</v>
      </c>
      <c r="H845">
        <f>IF(AND(ISNUMBER(C845),C845&gt;='Bulk Calculator'!U74/('Bulk Calculator'!J74*'Bulk Calculator'!L74)),1,0)</f>
        <v>1</v>
      </c>
      <c r="I845">
        <f>IFERROR(IF(AND(ISNUMBER(E845),ISNUMBER(F845),E845&gt;0,F845&gt;0),SQRT(3)*'Bulk Calculator'!O74*'Bulk Calculator'!AA74*((E845*'Bulk Calculator'!Q74)+(F845*SQRT(1-'Bulk Calculator'!Q74^2)))/'Bulk Calculator'!J74/'Bulk Calculator'!K74*100,D845*'Bulk Calculator'!AA74*'Bulk Calculator'!O74/'Bulk Calculator'!J74/'Bulk Calculator'!K74*100),"")</f>
        <v>0</v>
      </c>
      <c r="J845">
        <f>IFERROR(IF(AND(ISNUMBER(E845),ISNUMBER(F845),E845&gt;0,F845&gt;0),SQRT(3)*'Bulk Calculator'!O74*'Bulk Calculator'!U74*((E845*'Bulk Calculator'!M74)+(F845*SQRT(1-'Bulk Calculator'!M74^2)))/'Bulk Calculator'!J74/'Bulk Calculator'!K74*100,D845*'Bulk Calculator'!U74*'Bulk Calculator'!O74/'Bulk Calculator'!J74/'Bulk Calculator'!K74*100),"")</f>
        <v>0</v>
      </c>
      <c r="K845">
        <f>IFERROR(G845*B845*'Bulk Calculator'!J74/SQRT('Bulk Calculator'!S74)/1000,"")</f>
        <v>59.155178344756941</v>
      </c>
      <c r="L845">
        <f>IF(OR('Bulk Calculator'!R74="",'Bulk Calculator'!S74="",G845=""),0,IF(K845&gt;='Bulk Calculator'!R74,1,0))</f>
        <v>1</v>
      </c>
      <c r="M845">
        <f>IF(AND(H845=1,I845&lt;='OS-DORAEN'!$B$6,J845&lt;='OS-DORAEN'!$B$5,L845=1),1,0)</f>
        <v>1</v>
      </c>
      <c r="N845" t="str">
        <f t="shared" si="13"/>
        <v>R/X</v>
      </c>
    </row>
    <row r="846" spans="1:14" ht="15" customHeight="1" x14ac:dyDescent="0.35">
      <c r="A846">
        <v>74</v>
      </c>
      <c r="B846">
        <v>150</v>
      </c>
      <c r="C846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Master'!$F:$F,B846),"")</f>
        <v>292</v>
      </c>
      <c r="D846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Master'!$F:$F,B846),"")</f>
        <v>0.26500000000000001</v>
      </c>
      <c r="E846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Master'!$F:$F,B846),"")</f>
        <v>0.26500000000000001</v>
      </c>
      <c r="F846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Master'!$F:$F,B846),"")</f>
        <v>7.1999999999999995E-2</v>
      </c>
      <c r="G846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Master'!$F:$F,B846),"")</f>
        <v>143</v>
      </c>
      <c r="H846">
        <f>IF(AND(ISNUMBER(C846),C846&gt;='Bulk Calculator'!U74/('Bulk Calculator'!J74*'Bulk Calculator'!L74)),1,0)</f>
        <v>1</v>
      </c>
      <c r="I846">
        <f>IFERROR(IF(AND(ISNUMBER(E846),ISNUMBER(F846),E846&gt;0,F846&gt;0),SQRT(3)*'Bulk Calculator'!O74*'Bulk Calculator'!AA74*((E846*'Bulk Calculator'!Q74)+(F846*SQRT(1-'Bulk Calculator'!Q74^2)))/'Bulk Calculator'!J74/'Bulk Calculator'!K74*100,D846*'Bulk Calculator'!AA74*'Bulk Calculator'!O74/'Bulk Calculator'!J74/'Bulk Calculator'!K74*100),"")</f>
        <v>0</v>
      </c>
      <c r="J846">
        <f>IFERROR(IF(AND(ISNUMBER(E846),ISNUMBER(F846),E846&gt;0,F846&gt;0),SQRT(3)*'Bulk Calculator'!O74*'Bulk Calculator'!U74*((E846*'Bulk Calculator'!M74)+(F846*SQRT(1-'Bulk Calculator'!M74^2)))/'Bulk Calculator'!J74/'Bulk Calculator'!K74*100,D846*'Bulk Calculator'!U74*'Bulk Calculator'!O74/'Bulk Calculator'!J74/'Bulk Calculator'!K74*100),"")</f>
        <v>0</v>
      </c>
      <c r="K846">
        <f>IFERROR(G846*B846*'Bulk Calculator'!J74/SQRT('Bulk Calculator'!S74)/1000,"")</f>
        <v>47.963658117370493</v>
      </c>
      <c r="L846">
        <f>IF(OR('Bulk Calculator'!R74="",'Bulk Calculator'!S74="",G846=""),0,IF(K846&gt;='Bulk Calculator'!R74,1,0))</f>
        <v>1</v>
      </c>
      <c r="M846">
        <f>IF(AND(H846=1,I846&lt;='OS-DORAEN'!$B$6,J846&lt;='OS-DORAEN'!$B$5,L846=1),1,0)</f>
        <v>1</v>
      </c>
      <c r="N846" t="str">
        <f t="shared" si="13"/>
        <v>R/X</v>
      </c>
    </row>
    <row r="847" spans="1:14" ht="15" customHeight="1" x14ac:dyDescent="0.35">
      <c r="A847">
        <v>74</v>
      </c>
      <c r="B847">
        <v>120</v>
      </c>
      <c r="C847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Master'!$F:$F,B847),"")</f>
        <v>257</v>
      </c>
      <c r="D847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Master'!$F:$F,B847),"")</f>
        <v>0.32500000000000001</v>
      </c>
      <c r="E847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Master'!$F:$F,B847),"")</f>
        <v>0.32500000000000001</v>
      </c>
      <c r="F847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Master'!$F:$F,B847),"")</f>
        <v>7.1999999999999995E-2</v>
      </c>
      <c r="G847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Master'!$F:$F,B847),"")</f>
        <v>143</v>
      </c>
      <c r="H847">
        <f>IF(AND(ISNUMBER(C847),C847&gt;='Bulk Calculator'!U74/('Bulk Calculator'!J74*'Bulk Calculator'!L74)),1,0)</f>
        <v>1</v>
      </c>
      <c r="I847">
        <f>IFERROR(IF(AND(ISNUMBER(E847),ISNUMBER(F847),E847&gt;0,F847&gt;0),SQRT(3)*'Bulk Calculator'!O74*'Bulk Calculator'!AA74*((E847*'Bulk Calculator'!Q74)+(F847*SQRT(1-'Bulk Calculator'!Q74^2)))/'Bulk Calculator'!J74/'Bulk Calculator'!K74*100,D847*'Bulk Calculator'!AA74*'Bulk Calculator'!O74/'Bulk Calculator'!J74/'Bulk Calculator'!K74*100),"")</f>
        <v>0</v>
      </c>
      <c r="J847">
        <f>IFERROR(IF(AND(ISNUMBER(E847),ISNUMBER(F847),E847&gt;0,F847&gt;0),SQRT(3)*'Bulk Calculator'!O74*'Bulk Calculator'!U74*((E847*'Bulk Calculator'!M74)+(F847*SQRT(1-'Bulk Calculator'!M74^2)))/'Bulk Calculator'!J74/'Bulk Calculator'!K74*100,D847*'Bulk Calculator'!U74*'Bulk Calculator'!O74/'Bulk Calculator'!J74/'Bulk Calculator'!K74*100),"")</f>
        <v>0</v>
      </c>
      <c r="K847">
        <f>IFERROR(G847*B847*'Bulk Calculator'!J74/SQRT('Bulk Calculator'!S74)/1000,"")</f>
        <v>38.370926493896391</v>
      </c>
      <c r="L847">
        <f>IF(OR('Bulk Calculator'!R74="",'Bulk Calculator'!S74="",G847=""),0,IF(K847&gt;='Bulk Calculator'!R74,1,0))</f>
        <v>1</v>
      </c>
      <c r="M847">
        <f>IF(AND(H847=1,I847&lt;='OS-DORAEN'!$B$6,J847&lt;='OS-DORAEN'!$B$5,L847=1),1,0)</f>
        <v>1</v>
      </c>
      <c r="N847" t="str">
        <f t="shared" si="13"/>
        <v>R/X</v>
      </c>
    </row>
    <row r="848" spans="1:14" ht="15" customHeight="1" x14ac:dyDescent="0.35">
      <c r="A848">
        <v>74</v>
      </c>
      <c r="B848">
        <v>95</v>
      </c>
      <c r="C848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Master'!$F:$F,B848),"")</f>
        <v>221</v>
      </c>
      <c r="D848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Master'!$F:$F,B848),"")</f>
        <v>0.41</v>
      </c>
      <c r="E848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Master'!$F:$F,B848),"")</f>
        <v>0.41</v>
      </c>
      <c r="F848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Master'!$F:$F,B848),"")</f>
        <v>7.3999999999999996E-2</v>
      </c>
      <c r="G848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Master'!$F:$F,B848),"")</f>
        <v>143</v>
      </c>
      <c r="H848">
        <f>IF(AND(ISNUMBER(C848),C848&gt;='Bulk Calculator'!U74/('Bulk Calculator'!J74*'Bulk Calculator'!L74)),1,0)</f>
        <v>1</v>
      </c>
      <c r="I848">
        <f>IFERROR(IF(AND(ISNUMBER(E848),ISNUMBER(F848),E848&gt;0,F848&gt;0),SQRT(3)*'Bulk Calculator'!O74*'Bulk Calculator'!AA74*((E848*'Bulk Calculator'!Q74)+(F848*SQRT(1-'Bulk Calculator'!Q74^2)))/'Bulk Calculator'!J74/'Bulk Calculator'!K74*100,D848*'Bulk Calculator'!AA74*'Bulk Calculator'!O74/'Bulk Calculator'!J74/'Bulk Calculator'!K74*100),"")</f>
        <v>0</v>
      </c>
      <c r="J848">
        <f>IFERROR(IF(AND(ISNUMBER(E848),ISNUMBER(F848),E848&gt;0,F848&gt;0),SQRT(3)*'Bulk Calculator'!O74*'Bulk Calculator'!U74*((E848*'Bulk Calculator'!M74)+(F848*SQRT(1-'Bulk Calculator'!M74^2)))/'Bulk Calculator'!J74/'Bulk Calculator'!K74*100,D848*'Bulk Calculator'!U74*'Bulk Calculator'!O74/'Bulk Calculator'!J74/'Bulk Calculator'!K74*100),"")</f>
        <v>0</v>
      </c>
      <c r="K848">
        <f>IFERROR(G848*B848*'Bulk Calculator'!J74/SQRT('Bulk Calculator'!S74)/1000,"")</f>
        <v>30.376983474334644</v>
      </c>
      <c r="L848">
        <f>IF(OR('Bulk Calculator'!R74="",'Bulk Calculator'!S74="",G848=""),0,IF(K848&gt;='Bulk Calculator'!R74,1,0))</f>
        <v>1</v>
      </c>
      <c r="M848">
        <f>IF(AND(H848=1,I848&lt;='OS-DORAEN'!$B$6,J848&lt;='OS-DORAEN'!$B$5,L848=1),1,0)</f>
        <v>1</v>
      </c>
      <c r="N848" t="str">
        <f t="shared" si="13"/>
        <v>R/X</v>
      </c>
    </row>
    <row r="849" spans="1:14" ht="15" customHeight="1" x14ac:dyDescent="0.35">
      <c r="A849">
        <v>74</v>
      </c>
      <c r="B849">
        <v>70</v>
      </c>
      <c r="C849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Master'!$F:$F,B849),"")</f>
        <v>179</v>
      </c>
      <c r="D849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Master'!$F:$F,B849),"")</f>
        <v>0.56699999999999995</v>
      </c>
      <c r="E849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Master'!$F:$F,B849),"")</f>
        <v>0.56699999999999995</v>
      </c>
      <c r="F849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Master'!$F:$F,B849),"")</f>
        <v>7.6999999999999999E-2</v>
      </c>
      <c r="G849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Master'!$F:$F,B849),"")</f>
        <v>143</v>
      </c>
      <c r="H849">
        <f>IF(AND(ISNUMBER(C849),C849&gt;='Bulk Calculator'!U74/('Bulk Calculator'!J74*'Bulk Calculator'!L74)),1,0)</f>
        <v>1</v>
      </c>
      <c r="I849">
        <f>IFERROR(IF(AND(ISNUMBER(E849),ISNUMBER(F849),E849&gt;0,F849&gt;0),SQRT(3)*'Bulk Calculator'!O74*'Bulk Calculator'!AA74*((E849*'Bulk Calculator'!Q74)+(F849*SQRT(1-'Bulk Calculator'!Q74^2)))/'Bulk Calculator'!J74/'Bulk Calculator'!K74*100,D849*'Bulk Calculator'!AA74*'Bulk Calculator'!O74/'Bulk Calculator'!J74/'Bulk Calculator'!K74*100),"")</f>
        <v>0</v>
      </c>
      <c r="J849">
        <f>IFERROR(IF(AND(ISNUMBER(E849),ISNUMBER(F849),E849&gt;0,F849&gt;0),SQRT(3)*'Bulk Calculator'!O74*'Bulk Calculator'!U74*((E849*'Bulk Calculator'!M74)+(F849*SQRT(1-'Bulk Calculator'!M74^2)))/'Bulk Calculator'!J74/'Bulk Calculator'!K74*100,D849*'Bulk Calculator'!U74*'Bulk Calculator'!O74/'Bulk Calculator'!J74/'Bulk Calculator'!K74*100),"")</f>
        <v>0</v>
      </c>
      <c r="K849">
        <f>IFERROR(G849*B849*'Bulk Calculator'!J74/SQRT('Bulk Calculator'!S74)/1000,"")</f>
        <v>22.383040454772893</v>
      </c>
      <c r="L849">
        <f>IF(OR('Bulk Calculator'!R74="",'Bulk Calculator'!S74="",G849=""),0,IF(K849&gt;='Bulk Calculator'!R74,1,0))</f>
        <v>1</v>
      </c>
      <c r="M849">
        <f>IF(AND(H849=1,I849&lt;='OS-DORAEN'!$B$6,J849&lt;='OS-DORAEN'!$B$5,L849=1),1,0)</f>
        <v>1</v>
      </c>
      <c r="N849" t="str">
        <f t="shared" si="13"/>
        <v>R/X</v>
      </c>
    </row>
    <row r="850" spans="1:14" ht="15" customHeight="1" x14ac:dyDescent="0.35">
      <c r="A850">
        <v>74</v>
      </c>
      <c r="B850">
        <v>50</v>
      </c>
      <c r="C850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Master'!$F:$F,B850),"")</f>
        <v>142</v>
      </c>
      <c r="D850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Master'!$F:$F,B850),"")</f>
        <v>0.82</v>
      </c>
      <c r="E850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Master'!$F:$F,B850),"")</f>
        <v>0.82</v>
      </c>
      <c r="F850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Master'!$F:$F,B850),"")</f>
        <v>7.8E-2</v>
      </c>
      <c r="G850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Master'!$F:$F,B850),"")</f>
        <v>143</v>
      </c>
      <c r="H850">
        <f>IF(AND(ISNUMBER(C850),C850&gt;='Bulk Calculator'!U74/('Bulk Calculator'!J74*'Bulk Calculator'!L74)),1,0)</f>
        <v>1</v>
      </c>
      <c r="I850">
        <f>IFERROR(IF(AND(ISNUMBER(E850),ISNUMBER(F850),E850&gt;0,F850&gt;0),SQRT(3)*'Bulk Calculator'!O74*'Bulk Calculator'!AA74*((E850*'Bulk Calculator'!Q74)+(F850*SQRT(1-'Bulk Calculator'!Q74^2)))/'Bulk Calculator'!J74/'Bulk Calculator'!K74*100,D850*'Bulk Calculator'!AA74*'Bulk Calculator'!O74/'Bulk Calculator'!J74/'Bulk Calculator'!K74*100),"")</f>
        <v>0</v>
      </c>
      <c r="J850">
        <f>IFERROR(IF(AND(ISNUMBER(E850),ISNUMBER(F850),E850&gt;0,F850&gt;0),SQRT(3)*'Bulk Calculator'!O74*'Bulk Calculator'!U74*((E850*'Bulk Calculator'!M74)+(F850*SQRT(1-'Bulk Calculator'!M74^2)))/'Bulk Calculator'!J74/'Bulk Calculator'!K74*100,D850*'Bulk Calculator'!U74*'Bulk Calculator'!O74/'Bulk Calculator'!J74/'Bulk Calculator'!K74*100),"")</f>
        <v>0</v>
      </c>
      <c r="K850">
        <f>IFERROR(G850*B850*'Bulk Calculator'!J74/SQRT('Bulk Calculator'!S74)/1000,"")</f>
        <v>15.987886039123497</v>
      </c>
      <c r="L850">
        <f>IF(OR('Bulk Calculator'!R74="",'Bulk Calculator'!S74="",G850=""),0,IF(K850&gt;='Bulk Calculator'!R74,1,0))</f>
        <v>1</v>
      </c>
      <c r="M850">
        <f>IF(AND(H850=1,I850&lt;='OS-DORAEN'!$B$6,J850&lt;='OS-DORAEN'!$B$5,L850=1),1,0)</f>
        <v>1</v>
      </c>
      <c r="N850" t="str">
        <f t="shared" si="13"/>
        <v>R/X</v>
      </c>
    </row>
    <row r="851" spans="1:14" ht="15" customHeight="1" x14ac:dyDescent="0.35">
      <c r="A851">
        <v>74</v>
      </c>
      <c r="B851">
        <v>35</v>
      </c>
      <c r="C851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Master'!$F:$F,B851),"")</f>
        <v>117</v>
      </c>
      <c r="D851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Master'!$F:$F,B851),"")</f>
        <v>1.1100000000000001</v>
      </c>
      <c r="E851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Master'!$F:$F,B851),"")</f>
        <v>1.1100000000000001</v>
      </c>
      <c r="F851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Master'!$F:$F,B851),"")</f>
        <v>0.08</v>
      </c>
      <c r="G851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Master'!$F:$F,B851),"")</f>
        <v>143</v>
      </c>
      <c r="H851">
        <f>IF(AND(ISNUMBER(C851),C851&gt;='Bulk Calculator'!U74/('Bulk Calculator'!J74*'Bulk Calculator'!L74)),1,0)</f>
        <v>1</v>
      </c>
      <c r="I851">
        <f>IFERROR(IF(AND(ISNUMBER(E851),ISNUMBER(F851),E851&gt;0,F851&gt;0),SQRT(3)*'Bulk Calculator'!O74*'Bulk Calculator'!AA74*((E851*'Bulk Calculator'!Q74)+(F851*SQRT(1-'Bulk Calculator'!Q74^2)))/'Bulk Calculator'!J74/'Bulk Calculator'!K74*100,D851*'Bulk Calculator'!AA74*'Bulk Calculator'!O74/'Bulk Calculator'!J74/'Bulk Calculator'!K74*100),"")</f>
        <v>0</v>
      </c>
      <c r="J851">
        <f>IFERROR(IF(AND(ISNUMBER(E851),ISNUMBER(F851),E851&gt;0,F851&gt;0),SQRT(3)*'Bulk Calculator'!O74*'Bulk Calculator'!U74*((E851*'Bulk Calculator'!M74)+(F851*SQRT(1-'Bulk Calculator'!M74^2)))/'Bulk Calculator'!J74/'Bulk Calculator'!K74*100,D851*'Bulk Calculator'!U74*'Bulk Calculator'!O74/'Bulk Calculator'!J74/'Bulk Calculator'!K74*100),"")</f>
        <v>0</v>
      </c>
      <c r="K851">
        <f>IFERROR(G851*B851*'Bulk Calculator'!J74/SQRT('Bulk Calculator'!S74)/1000,"")</f>
        <v>11.191520227386446</v>
      </c>
      <c r="L851">
        <f>IF(OR('Bulk Calculator'!R74="",'Bulk Calculator'!S74="",G851=""),0,IF(K851&gt;='Bulk Calculator'!R74,1,0))</f>
        <v>1</v>
      </c>
      <c r="M851">
        <f>IF(AND(H851=1,I851&lt;='OS-DORAEN'!$B$6,J851&lt;='OS-DORAEN'!$B$5,L851=1),1,0)</f>
        <v>1</v>
      </c>
      <c r="N851" t="str">
        <f t="shared" si="13"/>
        <v>R/X</v>
      </c>
    </row>
    <row r="852" spans="1:14" ht="15" customHeight="1" x14ac:dyDescent="0.35">
      <c r="A852">
        <v>74</v>
      </c>
      <c r="B852">
        <v>25</v>
      </c>
      <c r="C852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Master'!$F:$F,B852),"")</f>
        <v>96</v>
      </c>
      <c r="D852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Master'!$F:$F,B852),"")</f>
        <v>1.54</v>
      </c>
      <c r="E852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Master'!$F:$F,B852),"")</f>
        <v>1.54</v>
      </c>
      <c r="F852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Master'!$F:$F,B852),"")</f>
        <v>0.08</v>
      </c>
      <c r="G852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Master'!$F:$F,B852),"")</f>
        <v>143</v>
      </c>
      <c r="H852">
        <f>IF(AND(ISNUMBER(C852),C852&gt;='Bulk Calculator'!U74/('Bulk Calculator'!J74*'Bulk Calculator'!L74)),1,0)</f>
        <v>1</v>
      </c>
      <c r="I852">
        <f>IFERROR(IF(AND(ISNUMBER(E852),ISNUMBER(F852),E852&gt;0,F852&gt;0),SQRT(3)*'Bulk Calculator'!O74*'Bulk Calculator'!AA74*((E852*'Bulk Calculator'!Q74)+(F852*SQRT(1-'Bulk Calculator'!Q74^2)))/'Bulk Calculator'!J74/'Bulk Calculator'!K74*100,D852*'Bulk Calculator'!AA74*'Bulk Calculator'!O74/'Bulk Calculator'!J74/'Bulk Calculator'!K74*100),"")</f>
        <v>0</v>
      </c>
      <c r="J852">
        <f>IFERROR(IF(AND(ISNUMBER(E852),ISNUMBER(F852),E852&gt;0,F852&gt;0),SQRT(3)*'Bulk Calculator'!O74*'Bulk Calculator'!U74*((E852*'Bulk Calculator'!M74)+(F852*SQRT(1-'Bulk Calculator'!M74^2)))/'Bulk Calculator'!J74/'Bulk Calculator'!K74*100,D852*'Bulk Calculator'!U74*'Bulk Calculator'!O74/'Bulk Calculator'!J74/'Bulk Calculator'!K74*100),"")</f>
        <v>0</v>
      </c>
      <c r="K852">
        <f>IFERROR(G852*B852*'Bulk Calculator'!J74/SQRT('Bulk Calculator'!S74)/1000,"")</f>
        <v>7.9939430195617485</v>
      </c>
      <c r="L852">
        <f>IF(OR('Bulk Calculator'!R74="",'Bulk Calculator'!S74="",G852=""),0,IF(K852&gt;='Bulk Calculator'!R74,1,0))</f>
        <v>1</v>
      </c>
      <c r="M852">
        <f>IF(AND(H852=1,I852&lt;='OS-DORAEN'!$B$6,J852&lt;='OS-DORAEN'!$B$5,L852=1),1,0)</f>
        <v>1</v>
      </c>
      <c r="N852" t="str">
        <f t="shared" si="13"/>
        <v>R/X</v>
      </c>
    </row>
    <row r="853" spans="1:14" ht="15" customHeight="1" x14ac:dyDescent="0.35">
      <c r="A853">
        <v>74</v>
      </c>
      <c r="B853">
        <v>16</v>
      </c>
      <c r="C853">
        <f>IFERROR(SUMIFS('Cable Data Master'!$G:$G,'Cable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Master'!$F:$F,B853),"")</f>
        <v>0</v>
      </c>
      <c r="D853">
        <f>IFERROR(SUMIFS('Cable Data Master'!$K:$K,'Cable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Master'!$F:$F,B853),"")</f>
        <v>0</v>
      </c>
      <c r="E853">
        <f>IFERROR(SUMIFS('Cable Data Master'!$H:$H,'Cable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Master'!$F:$F,B853),"")</f>
        <v>0</v>
      </c>
      <c r="F853">
        <f>IFERROR(SUMIFS('Cable Data Master'!$I:$I,'Cable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Master'!$F:$F,B853),"")</f>
        <v>0</v>
      </c>
      <c r="G853">
        <f>IFERROR(SUMIFS('Cable Data Master'!$J:$J,'Cable Data Master'!$A:$A,'Bulk Calculator'!$BF74,'Cable Data Master'!$B:$B,'Bulk Calculator'!$BG74,'Cable Data Master'!$C:$C,'Bulk Calculator'!$BH74,'Cable Data Master'!$D:$D,'Bulk Calculator'!$BI74,'Cable Data Master'!$E:$E,'Bulk Calculator'!$BJ74,'Cable Data Master'!$F:$F,B853),"")</f>
        <v>0</v>
      </c>
      <c r="H853">
        <f>IF(AND(ISNUMBER(C853),C853&gt;='Bulk Calculator'!U74/('Bulk Calculator'!J74*'Bulk Calculator'!L74)),1,0)</f>
        <v>1</v>
      </c>
      <c r="I853">
        <f>IFERROR(IF(AND(ISNUMBER(E853),ISNUMBER(F853),E853&gt;0,F853&gt;0),SQRT(3)*'Bulk Calculator'!O74*'Bulk Calculator'!AA74*((E853*'Bulk Calculator'!Q74)+(F853*SQRT(1-'Bulk Calculator'!Q74^2)))/'Bulk Calculator'!J74/'Bulk Calculator'!K74*100,D853*'Bulk Calculator'!AA74*'Bulk Calculator'!O74/'Bulk Calculator'!J74/'Bulk Calculator'!K74*100),"")</f>
        <v>0</v>
      </c>
      <c r="J853">
        <f>IFERROR(IF(AND(ISNUMBER(E853),ISNUMBER(F853),E853&gt;0,F853&gt;0),SQRT(3)*'Bulk Calculator'!O74*'Bulk Calculator'!U74*((E853*'Bulk Calculator'!M74)+(F853*SQRT(1-'Bulk Calculator'!M74^2)))/'Bulk Calculator'!J74/'Bulk Calculator'!K74*100,D853*'Bulk Calculator'!U74*'Bulk Calculator'!O74/'Bulk Calculator'!J74/'Bulk Calculator'!K74*100),"")</f>
        <v>0</v>
      </c>
      <c r="K853">
        <f>IFERROR(G853*B853*'Bulk Calculator'!J74/SQRT('Bulk Calculator'!S74)/1000,"")</f>
        <v>0</v>
      </c>
      <c r="L853">
        <f>IF(OR('Bulk Calculator'!R74="",'Bulk Calculator'!S74="",G853=""),0,IF(K853&gt;='Bulk Calculator'!R74,1,0))</f>
        <v>1</v>
      </c>
      <c r="M853">
        <f>IF(AND(H853=1,I853&lt;='OS-DORAEN'!$B$6,J853&lt;='OS-DORAEN'!$B$5,L853=1),1,0)</f>
        <v>1</v>
      </c>
      <c r="N853" t="str">
        <f t="shared" si="13"/>
        <v>Manufacturer VD Ref</v>
      </c>
    </row>
    <row r="854" spans="1:14" ht="15" customHeight="1" x14ac:dyDescent="0.35">
      <c r="A854">
        <v>75</v>
      </c>
      <c r="B854">
        <v>400</v>
      </c>
      <c r="C854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Master'!$F:$F,B854),"")</f>
        <v>530</v>
      </c>
      <c r="D854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Master'!$F:$F,B854),"")</f>
        <v>0.1023</v>
      </c>
      <c r="E854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Master'!$F:$F,B854),"")</f>
        <v>0.1023</v>
      </c>
      <c r="F854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Master'!$F:$F,B854),"")</f>
        <v>7.0000000000000007E-2</v>
      </c>
      <c r="G854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Master'!$F:$F,B854),"")</f>
        <v>143</v>
      </c>
      <c r="H854">
        <f>IF(AND(ISNUMBER(C854),C854&gt;='Bulk Calculator'!U75/('Bulk Calculator'!J75*'Bulk Calculator'!L75)),1,0)</f>
        <v>1</v>
      </c>
      <c r="I854">
        <f>IFERROR(IF(AND(ISNUMBER(E854),ISNUMBER(F854),E854&gt;0,F854&gt;0),SQRT(3)*'Bulk Calculator'!O75*'Bulk Calculator'!AA75*((E854*'Bulk Calculator'!Q75)+(F854*SQRT(1-'Bulk Calculator'!Q75^2)))/'Bulk Calculator'!J75/'Bulk Calculator'!K75*100,D854*'Bulk Calculator'!AA75*'Bulk Calculator'!O75/'Bulk Calculator'!J75/'Bulk Calculator'!K75*100),"")</f>
        <v>0</v>
      </c>
      <c r="J854">
        <f>IFERROR(IF(AND(ISNUMBER(E854),ISNUMBER(F854),E854&gt;0,F854&gt;0),SQRT(3)*'Bulk Calculator'!O75*'Bulk Calculator'!U75*((E854*'Bulk Calculator'!M75)+(F854*SQRT(1-'Bulk Calculator'!M75^2)))/'Bulk Calculator'!J75/'Bulk Calculator'!K75*100,D854*'Bulk Calculator'!U75*'Bulk Calculator'!O75/'Bulk Calculator'!J75/'Bulk Calculator'!K75*100),"")</f>
        <v>0</v>
      </c>
      <c r="K854">
        <f>IFERROR(G854*B854*'Bulk Calculator'!J75/SQRT('Bulk Calculator'!S75)/1000,"")</f>
        <v>127.90308831298798</v>
      </c>
      <c r="L854">
        <f>IF(OR('Bulk Calculator'!R75="",'Bulk Calculator'!S75="",G854=""),0,IF(K854&gt;='Bulk Calculator'!R75,1,0))</f>
        <v>1</v>
      </c>
      <c r="M854">
        <f>IF(AND(H854=1,I854&lt;='OS-DORAEN'!$B$6,J854&lt;='OS-DORAEN'!$B$5,L854=1),1,0)</f>
        <v>1</v>
      </c>
      <c r="N854" t="str">
        <f t="shared" si="13"/>
        <v>R/X</v>
      </c>
    </row>
    <row r="855" spans="1:14" ht="15" customHeight="1" x14ac:dyDescent="0.35">
      <c r="A855">
        <v>75</v>
      </c>
      <c r="B855">
        <v>300</v>
      </c>
      <c r="C855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Master'!$F:$F,B855),"")</f>
        <v>455</v>
      </c>
      <c r="D855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Master'!$F:$F,B855),"")</f>
        <v>0.13</v>
      </c>
      <c r="E855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Master'!$F:$F,B855),"")</f>
        <v>0.13</v>
      </c>
      <c r="F855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Master'!$F:$F,B855),"")</f>
        <v>7.0999999999999994E-2</v>
      </c>
      <c r="G855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Master'!$F:$F,B855),"")</f>
        <v>143</v>
      </c>
      <c r="H855">
        <f>IF(AND(ISNUMBER(C855),C855&gt;='Bulk Calculator'!U75/('Bulk Calculator'!J75*'Bulk Calculator'!L75)),1,0)</f>
        <v>1</v>
      </c>
      <c r="I855">
        <f>IFERROR(IF(AND(ISNUMBER(E855),ISNUMBER(F855),E855&gt;0,F855&gt;0),SQRT(3)*'Bulk Calculator'!O75*'Bulk Calculator'!AA75*((E855*'Bulk Calculator'!Q75)+(F855*SQRT(1-'Bulk Calculator'!Q75^2)))/'Bulk Calculator'!J75/'Bulk Calculator'!K75*100,D855*'Bulk Calculator'!AA75*'Bulk Calculator'!O75/'Bulk Calculator'!J75/'Bulk Calculator'!K75*100),"")</f>
        <v>0</v>
      </c>
      <c r="J855">
        <f>IFERROR(IF(AND(ISNUMBER(E855),ISNUMBER(F855),E855&gt;0,F855&gt;0),SQRT(3)*'Bulk Calculator'!O75*'Bulk Calculator'!U75*((E855*'Bulk Calculator'!M75)+(F855*SQRT(1-'Bulk Calculator'!M75^2)))/'Bulk Calculator'!J75/'Bulk Calculator'!K75*100,D855*'Bulk Calculator'!U75*'Bulk Calculator'!O75/'Bulk Calculator'!J75/'Bulk Calculator'!K75*100),"")</f>
        <v>0</v>
      </c>
      <c r="K855">
        <f>IFERROR(G855*B855*'Bulk Calculator'!J75/SQRT('Bulk Calculator'!S75)/1000,"")</f>
        <v>95.927316234740985</v>
      </c>
      <c r="L855">
        <f>IF(OR('Bulk Calculator'!R75="",'Bulk Calculator'!S75="",G855=""),0,IF(K855&gt;='Bulk Calculator'!R75,1,0))</f>
        <v>1</v>
      </c>
      <c r="M855">
        <f>IF(AND(H855=1,I855&lt;='OS-DORAEN'!$B$6,J855&lt;='OS-DORAEN'!$B$5,L855=1),1,0)</f>
        <v>1</v>
      </c>
      <c r="N855" t="str">
        <f t="shared" si="13"/>
        <v>R/X</v>
      </c>
    </row>
    <row r="856" spans="1:14" ht="15" customHeight="1" x14ac:dyDescent="0.35">
      <c r="A856">
        <v>75</v>
      </c>
      <c r="B856">
        <v>240</v>
      </c>
      <c r="C856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Master'!$F:$F,B856),"")</f>
        <v>399</v>
      </c>
      <c r="D856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Master'!$F:$F,B856),"")</f>
        <v>0.16200000000000001</v>
      </c>
      <c r="E856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Master'!$F:$F,B856),"")</f>
        <v>0.16200000000000001</v>
      </c>
      <c r="F856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Master'!$F:$F,B856),"")</f>
        <v>7.1999999999999995E-2</v>
      </c>
      <c r="G856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Master'!$F:$F,B856),"")</f>
        <v>143</v>
      </c>
      <c r="H856">
        <f>IF(AND(ISNUMBER(C856),C856&gt;='Bulk Calculator'!U75/('Bulk Calculator'!J75*'Bulk Calculator'!L75)),1,0)</f>
        <v>1</v>
      </c>
      <c r="I856">
        <f>IFERROR(IF(AND(ISNUMBER(E856),ISNUMBER(F856),E856&gt;0,F856&gt;0),SQRT(3)*'Bulk Calculator'!O75*'Bulk Calculator'!AA75*((E856*'Bulk Calculator'!Q75)+(F856*SQRT(1-'Bulk Calculator'!Q75^2)))/'Bulk Calculator'!J75/'Bulk Calculator'!K75*100,D856*'Bulk Calculator'!AA75*'Bulk Calculator'!O75/'Bulk Calculator'!J75/'Bulk Calculator'!K75*100),"")</f>
        <v>0</v>
      </c>
      <c r="J856">
        <f>IFERROR(IF(AND(ISNUMBER(E856),ISNUMBER(F856),E856&gt;0,F856&gt;0),SQRT(3)*'Bulk Calculator'!O75*'Bulk Calculator'!U75*((E856*'Bulk Calculator'!M75)+(F856*SQRT(1-'Bulk Calculator'!M75^2)))/'Bulk Calculator'!J75/'Bulk Calculator'!K75*100,D856*'Bulk Calculator'!U75*'Bulk Calculator'!O75/'Bulk Calculator'!J75/'Bulk Calculator'!K75*100),"")</f>
        <v>0</v>
      </c>
      <c r="K856">
        <f>IFERROR(G856*B856*'Bulk Calculator'!J75/SQRT('Bulk Calculator'!S75)/1000,"")</f>
        <v>76.741852987792782</v>
      </c>
      <c r="L856">
        <f>IF(OR('Bulk Calculator'!R75="",'Bulk Calculator'!S75="",G856=""),0,IF(K856&gt;='Bulk Calculator'!R75,1,0))</f>
        <v>1</v>
      </c>
      <c r="M856">
        <f>IF(AND(H856=1,I856&lt;='OS-DORAEN'!$B$6,J856&lt;='OS-DORAEN'!$B$5,L856=1),1,0)</f>
        <v>1</v>
      </c>
      <c r="N856" t="str">
        <f t="shared" si="13"/>
        <v>R/X</v>
      </c>
    </row>
    <row r="857" spans="1:14" ht="15" customHeight="1" x14ac:dyDescent="0.35">
      <c r="A857">
        <v>75</v>
      </c>
      <c r="B857">
        <v>185</v>
      </c>
      <c r="C857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Master'!$F:$F,B857),"")</f>
        <v>337</v>
      </c>
      <c r="D857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Master'!$F:$F,B857),"")</f>
        <v>0.21099999999999999</v>
      </c>
      <c r="E857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Master'!$F:$F,B857),"")</f>
        <v>0.21099999999999999</v>
      </c>
      <c r="F857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Master'!$F:$F,B857),"")</f>
        <v>7.1999999999999995E-2</v>
      </c>
      <c r="G857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Master'!$F:$F,B857),"")</f>
        <v>143</v>
      </c>
      <c r="H857">
        <f>IF(AND(ISNUMBER(C857),C857&gt;='Bulk Calculator'!U75/('Bulk Calculator'!J75*'Bulk Calculator'!L75)),1,0)</f>
        <v>1</v>
      </c>
      <c r="I857">
        <f>IFERROR(IF(AND(ISNUMBER(E857),ISNUMBER(F857),E857&gt;0,F857&gt;0),SQRT(3)*'Bulk Calculator'!O75*'Bulk Calculator'!AA75*((E857*'Bulk Calculator'!Q75)+(F857*SQRT(1-'Bulk Calculator'!Q75^2)))/'Bulk Calculator'!J75/'Bulk Calculator'!K75*100,D857*'Bulk Calculator'!AA75*'Bulk Calculator'!O75/'Bulk Calculator'!J75/'Bulk Calculator'!K75*100),"")</f>
        <v>0</v>
      </c>
      <c r="J857">
        <f>IFERROR(IF(AND(ISNUMBER(E857),ISNUMBER(F857),E857&gt;0,F857&gt;0),SQRT(3)*'Bulk Calculator'!O75*'Bulk Calculator'!U75*((E857*'Bulk Calculator'!M75)+(F857*SQRT(1-'Bulk Calculator'!M75^2)))/'Bulk Calculator'!J75/'Bulk Calculator'!K75*100,D857*'Bulk Calculator'!U75*'Bulk Calculator'!O75/'Bulk Calculator'!J75/'Bulk Calculator'!K75*100),"")</f>
        <v>0</v>
      </c>
      <c r="K857">
        <f>IFERROR(G857*B857*'Bulk Calculator'!J75/SQRT('Bulk Calculator'!S75)/1000,"")</f>
        <v>59.155178344756941</v>
      </c>
      <c r="L857">
        <f>IF(OR('Bulk Calculator'!R75="",'Bulk Calculator'!S75="",G857=""),0,IF(K857&gt;='Bulk Calculator'!R75,1,0))</f>
        <v>1</v>
      </c>
      <c r="M857">
        <f>IF(AND(H857=1,I857&lt;='OS-DORAEN'!$B$6,J857&lt;='OS-DORAEN'!$B$5,L857=1),1,0)</f>
        <v>1</v>
      </c>
      <c r="N857" t="str">
        <f t="shared" si="13"/>
        <v>R/X</v>
      </c>
    </row>
    <row r="858" spans="1:14" ht="15" customHeight="1" x14ac:dyDescent="0.35">
      <c r="A858">
        <v>75</v>
      </c>
      <c r="B858">
        <v>150</v>
      </c>
      <c r="C858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Master'!$F:$F,B858),"")</f>
        <v>292</v>
      </c>
      <c r="D858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Master'!$F:$F,B858),"")</f>
        <v>0.26500000000000001</v>
      </c>
      <c r="E858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Master'!$F:$F,B858),"")</f>
        <v>0.26500000000000001</v>
      </c>
      <c r="F858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Master'!$F:$F,B858),"")</f>
        <v>7.1999999999999995E-2</v>
      </c>
      <c r="G858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Master'!$F:$F,B858),"")</f>
        <v>143</v>
      </c>
      <c r="H858">
        <f>IF(AND(ISNUMBER(C858),C858&gt;='Bulk Calculator'!U75/('Bulk Calculator'!J75*'Bulk Calculator'!L75)),1,0)</f>
        <v>1</v>
      </c>
      <c r="I858">
        <f>IFERROR(IF(AND(ISNUMBER(E858),ISNUMBER(F858),E858&gt;0,F858&gt;0),SQRT(3)*'Bulk Calculator'!O75*'Bulk Calculator'!AA75*((E858*'Bulk Calculator'!Q75)+(F858*SQRT(1-'Bulk Calculator'!Q75^2)))/'Bulk Calculator'!J75/'Bulk Calculator'!K75*100,D858*'Bulk Calculator'!AA75*'Bulk Calculator'!O75/'Bulk Calculator'!J75/'Bulk Calculator'!K75*100),"")</f>
        <v>0</v>
      </c>
      <c r="J858">
        <f>IFERROR(IF(AND(ISNUMBER(E858),ISNUMBER(F858),E858&gt;0,F858&gt;0),SQRT(3)*'Bulk Calculator'!O75*'Bulk Calculator'!U75*((E858*'Bulk Calculator'!M75)+(F858*SQRT(1-'Bulk Calculator'!M75^2)))/'Bulk Calculator'!J75/'Bulk Calculator'!K75*100,D858*'Bulk Calculator'!U75*'Bulk Calculator'!O75/'Bulk Calculator'!J75/'Bulk Calculator'!K75*100),"")</f>
        <v>0</v>
      </c>
      <c r="K858">
        <f>IFERROR(G858*B858*'Bulk Calculator'!J75/SQRT('Bulk Calculator'!S75)/1000,"")</f>
        <v>47.963658117370493</v>
      </c>
      <c r="L858">
        <f>IF(OR('Bulk Calculator'!R75="",'Bulk Calculator'!S75="",G858=""),0,IF(K858&gt;='Bulk Calculator'!R75,1,0))</f>
        <v>1</v>
      </c>
      <c r="M858">
        <f>IF(AND(H858=1,I858&lt;='OS-DORAEN'!$B$6,J858&lt;='OS-DORAEN'!$B$5,L858=1),1,0)</f>
        <v>1</v>
      </c>
      <c r="N858" t="str">
        <f t="shared" si="13"/>
        <v>R/X</v>
      </c>
    </row>
    <row r="859" spans="1:14" ht="15" customHeight="1" x14ac:dyDescent="0.35">
      <c r="A859">
        <v>75</v>
      </c>
      <c r="B859">
        <v>120</v>
      </c>
      <c r="C859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Master'!$F:$F,B859),"")</f>
        <v>257</v>
      </c>
      <c r="D859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Master'!$F:$F,B859),"")</f>
        <v>0.32500000000000001</v>
      </c>
      <c r="E859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Master'!$F:$F,B859),"")</f>
        <v>0.32500000000000001</v>
      </c>
      <c r="F859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Master'!$F:$F,B859),"")</f>
        <v>7.1999999999999995E-2</v>
      </c>
      <c r="G859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Master'!$F:$F,B859),"")</f>
        <v>143</v>
      </c>
      <c r="H859">
        <f>IF(AND(ISNUMBER(C859),C859&gt;='Bulk Calculator'!U75/('Bulk Calculator'!J75*'Bulk Calculator'!L75)),1,0)</f>
        <v>1</v>
      </c>
      <c r="I859">
        <f>IFERROR(IF(AND(ISNUMBER(E859),ISNUMBER(F859),E859&gt;0,F859&gt;0),SQRT(3)*'Bulk Calculator'!O75*'Bulk Calculator'!AA75*((E859*'Bulk Calculator'!Q75)+(F859*SQRT(1-'Bulk Calculator'!Q75^2)))/'Bulk Calculator'!J75/'Bulk Calculator'!K75*100,D859*'Bulk Calculator'!AA75*'Bulk Calculator'!O75/'Bulk Calculator'!J75/'Bulk Calculator'!K75*100),"")</f>
        <v>0</v>
      </c>
      <c r="J859">
        <f>IFERROR(IF(AND(ISNUMBER(E859),ISNUMBER(F859),E859&gt;0,F859&gt;0),SQRT(3)*'Bulk Calculator'!O75*'Bulk Calculator'!U75*((E859*'Bulk Calculator'!M75)+(F859*SQRT(1-'Bulk Calculator'!M75^2)))/'Bulk Calculator'!J75/'Bulk Calculator'!K75*100,D859*'Bulk Calculator'!U75*'Bulk Calculator'!O75/'Bulk Calculator'!J75/'Bulk Calculator'!K75*100),"")</f>
        <v>0</v>
      </c>
      <c r="K859">
        <f>IFERROR(G859*B859*'Bulk Calculator'!J75/SQRT('Bulk Calculator'!S75)/1000,"")</f>
        <v>38.370926493896391</v>
      </c>
      <c r="L859">
        <f>IF(OR('Bulk Calculator'!R75="",'Bulk Calculator'!S75="",G859=""),0,IF(K859&gt;='Bulk Calculator'!R75,1,0))</f>
        <v>1</v>
      </c>
      <c r="M859">
        <f>IF(AND(H859=1,I859&lt;='OS-DORAEN'!$B$6,J859&lt;='OS-DORAEN'!$B$5,L859=1),1,0)</f>
        <v>1</v>
      </c>
      <c r="N859" t="str">
        <f t="shared" si="13"/>
        <v>R/X</v>
      </c>
    </row>
    <row r="860" spans="1:14" ht="15" customHeight="1" x14ac:dyDescent="0.35">
      <c r="A860">
        <v>75</v>
      </c>
      <c r="B860">
        <v>95</v>
      </c>
      <c r="C860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Master'!$F:$F,B860),"")</f>
        <v>221</v>
      </c>
      <c r="D860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Master'!$F:$F,B860),"")</f>
        <v>0.41</v>
      </c>
      <c r="E860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Master'!$F:$F,B860),"")</f>
        <v>0.41</v>
      </c>
      <c r="F860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Master'!$F:$F,B860),"")</f>
        <v>7.3999999999999996E-2</v>
      </c>
      <c r="G860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Master'!$F:$F,B860),"")</f>
        <v>143</v>
      </c>
      <c r="H860">
        <f>IF(AND(ISNUMBER(C860),C860&gt;='Bulk Calculator'!U75/('Bulk Calculator'!J75*'Bulk Calculator'!L75)),1,0)</f>
        <v>1</v>
      </c>
      <c r="I860">
        <f>IFERROR(IF(AND(ISNUMBER(E860),ISNUMBER(F860),E860&gt;0,F860&gt;0),SQRT(3)*'Bulk Calculator'!O75*'Bulk Calculator'!AA75*((E860*'Bulk Calculator'!Q75)+(F860*SQRT(1-'Bulk Calculator'!Q75^2)))/'Bulk Calculator'!J75/'Bulk Calculator'!K75*100,D860*'Bulk Calculator'!AA75*'Bulk Calculator'!O75/'Bulk Calculator'!J75/'Bulk Calculator'!K75*100),"")</f>
        <v>0</v>
      </c>
      <c r="J860">
        <f>IFERROR(IF(AND(ISNUMBER(E860),ISNUMBER(F860),E860&gt;0,F860&gt;0),SQRT(3)*'Bulk Calculator'!O75*'Bulk Calculator'!U75*((E860*'Bulk Calculator'!M75)+(F860*SQRT(1-'Bulk Calculator'!M75^2)))/'Bulk Calculator'!J75/'Bulk Calculator'!K75*100,D860*'Bulk Calculator'!U75*'Bulk Calculator'!O75/'Bulk Calculator'!J75/'Bulk Calculator'!K75*100),"")</f>
        <v>0</v>
      </c>
      <c r="K860">
        <f>IFERROR(G860*B860*'Bulk Calculator'!J75/SQRT('Bulk Calculator'!S75)/1000,"")</f>
        <v>30.376983474334644</v>
      </c>
      <c r="L860">
        <f>IF(OR('Bulk Calculator'!R75="",'Bulk Calculator'!S75="",G860=""),0,IF(K860&gt;='Bulk Calculator'!R75,1,0))</f>
        <v>1</v>
      </c>
      <c r="M860">
        <f>IF(AND(H860=1,I860&lt;='OS-DORAEN'!$B$6,J860&lt;='OS-DORAEN'!$B$5,L860=1),1,0)</f>
        <v>1</v>
      </c>
      <c r="N860" t="str">
        <f t="shared" si="13"/>
        <v>R/X</v>
      </c>
    </row>
    <row r="861" spans="1:14" ht="15" customHeight="1" x14ac:dyDescent="0.35">
      <c r="A861">
        <v>75</v>
      </c>
      <c r="B861">
        <v>70</v>
      </c>
      <c r="C861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Master'!$F:$F,B861),"")</f>
        <v>179</v>
      </c>
      <c r="D861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Master'!$F:$F,B861),"")</f>
        <v>0.56699999999999995</v>
      </c>
      <c r="E861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Master'!$F:$F,B861),"")</f>
        <v>0.56699999999999995</v>
      </c>
      <c r="F861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Master'!$F:$F,B861),"")</f>
        <v>7.6999999999999999E-2</v>
      </c>
      <c r="G861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Master'!$F:$F,B861),"")</f>
        <v>143</v>
      </c>
      <c r="H861">
        <f>IF(AND(ISNUMBER(C861),C861&gt;='Bulk Calculator'!U75/('Bulk Calculator'!J75*'Bulk Calculator'!L75)),1,0)</f>
        <v>1</v>
      </c>
      <c r="I861">
        <f>IFERROR(IF(AND(ISNUMBER(E861),ISNUMBER(F861),E861&gt;0,F861&gt;0),SQRT(3)*'Bulk Calculator'!O75*'Bulk Calculator'!AA75*((E861*'Bulk Calculator'!Q75)+(F861*SQRT(1-'Bulk Calculator'!Q75^2)))/'Bulk Calculator'!J75/'Bulk Calculator'!K75*100,D861*'Bulk Calculator'!AA75*'Bulk Calculator'!O75/'Bulk Calculator'!J75/'Bulk Calculator'!K75*100),"")</f>
        <v>0</v>
      </c>
      <c r="J861">
        <f>IFERROR(IF(AND(ISNUMBER(E861),ISNUMBER(F861),E861&gt;0,F861&gt;0),SQRT(3)*'Bulk Calculator'!O75*'Bulk Calculator'!U75*((E861*'Bulk Calculator'!M75)+(F861*SQRT(1-'Bulk Calculator'!M75^2)))/'Bulk Calculator'!J75/'Bulk Calculator'!K75*100,D861*'Bulk Calculator'!U75*'Bulk Calculator'!O75/'Bulk Calculator'!J75/'Bulk Calculator'!K75*100),"")</f>
        <v>0</v>
      </c>
      <c r="K861">
        <f>IFERROR(G861*B861*'Bulk Calculator'!J75/SQRT('Bulk Calculator'!S75)/1000,"")</f>
        <v>22.383040454772893</v>
      </c>
      <c r="L861">
        <f>IF(OR('Bulk Calculator'!R75="",'Bulk Calculator'!S75="",G861=""),0,IF(K861&gt;='Bulk Calculator'!R75,1,0))</f>
        <v>1</v>
      </c>
      <c r="M861">
        <f>IF(AND(H861=1,I861&lt;='OS-DORAEN'!$B$6,J861&lt;='OS-DORAEN'!$B$5,L861=1),1,0)</f>
        <v>1</v>
      </c>
      <c r="N861" t="str">
        <f t="shared" si="13"/>
        <v>R/X</v>
      </c>
    </row>
    <row r="862" spans="1:14" ht="15" customHeight="1" x14ac:dyDescent="0.35">
      <c r="A862">
        <v>75</v>
      </c>
      <c r="B862">
        <v>50</v>
      </c>
      <c r="C862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Master'!$F:$F,B862),"")</f>
        <v>142</v>
      </c>
      <c r="D862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Master'!$F:$F,B862),"")</f>
        <v>0.82</v>
      </c>
      <c r="E862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Master'!$F:$F,B862),"")</f>
        <v>0.82</v>
      </c>
      <c r="F862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Master'!$F:$F,B862),"")</f>
        <v>7.8E-2</v>
      </c>
      <c r="G862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Master'!$F:$F,B862),"")</f>
        <v>143</v>
      </c>
      <c r="H862">
        <f>IF(AND(ISNUMBER(C862),C862&gt;='Bulk Calculator'!U75/('Bulk Calculator'!J75*'Bulk Calculator'!L75)),1,0)</f>
        <v>1</v>
      </c>
      <c r="I862">
        <f>IFERROR(IF(AND(ISNUMBER(E862),ISNUMBER(F862),E862&gt;0,F862&gt;0),SQRT(3)*'Bulk Calculator'!O75*'Bulk Calculator'!AA75*((E862*'Bulk Calculator'!Q75)+(F862*SQRT(1-'Bulk Calculator'!Q75^2)))/'Bulk Calculator'!J75/'Bulk Calculator'!K75*100,D862*'Bulk Calculator'!AA75*'Bulk Calculator'!O75/'Bulk Calculator'!J75/'Bulk Calculator'!K75*100),"")</f>
        <v>0</v>
      </c>
      <c r="J862">
        <f>IFERROR(IF(AND(ISNUMBER(E862),ISNUMBER(F862),E862&gt;0,F862&gt;0),SQRT(3)*'Bulk Calculator'!O75*'Bulk Calculator'!U75*((E862*'Bulk Calculator'!M75)+(F862*SQRT(1-'Bulk Calculator'!M75^2)))/'Bulk Calculator'!J75/'Bulk Calculator'!K75*100,D862*'Bulk Calculator'!U75*'Bulk Calculator'!O75/'Bulk Calculator'!J75/'Bulk Calculator'!K75*100),"")</f>
        <v>0</v>
      </c>
      <c r="K862">
        <f>IFERROR(G862*B862*'Bulk Calculator'!J75/SQRT('Bulk Calculator'!S75)/1000,"")</f>
        <v>15.987886039123497</v>
      </c>
      <c r="L862">
        <f>IF(OR('Bulk Calculator'!R75="",'Bulk Calculator'!S75="",G862=""),0,IF(K862&gt;='Bulk Calculator'!R75,1,0))</f>
        <v>1</v>
      </c>
      <c r="M862">
        <f>IF(AND(H862=1,I862&lt;='OS-DORAEN'!$B$6,J862&lt;='OS-DORAEN'!$B$5,L862=1),1,0)</f>
        <v>1</v>
      </c>
      <c r="N862" t="str">
        <f t="shared" si="13"/>
        <v>R/X</v>
      </c>
    </row>
    <row r="863" spans="1:14" ht="15" customHeight="1" x14ac:dyDescent="0.35">
      <c r="A863">
        <v>75</v>
      </c>
      <c r="B863">
        <v>35</v>
      </c>
      <c r="C863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Master'!$F:$F,B863),"")</f>
        <v>117</v>
      </c>
      <c r="D863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Master'!$F:$F,B863),"")</f>
        <v>1.1100000000000001</v>
      </c>
      <c r="E863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Master'!$F:$F,B863),"")</f>
        <v>1.1100000000000001</v>
      </c>
      <c r="F863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Master'!$F:$F,B863),"")</f>
        <v>0.08</v>
      </c>
      <c r="G863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Master'!$F:$F,B863),"")</f>
        <v>143</v>
      </c>
      <c r="H863">
        <f>IF(AND(ISNUMBER(C863),C863&gt;='Bulk Calculator'!U75/('Bulk Calculator'!J75*'Bulk Calculator'!L75)),1,0)</f>
        <v>1</v>
      </c>
      <c r="I863">
        <f>IFERROR(IF(AND(ISNUMBER(E863),ISNUMBER(F863),E863&gt;0,F863&gt;0),SQRT(3)*'Bulk Calculator'!O75*'Bulk Calculator'!AA75*((E863*'Bulk Calculator'!Q75)+(F863*SQRT(1-'Bulk Calculator'!Q75^2)))/'Bulk Calculator'!J75/'Bulk Calculator'!K75*100,D863*'Bulk Calculator'!AA75*'Bulk Calculator'!O75/'Bulk Calculator'!J75/'Bulk Calculator'!K75*100),"")</f>
        <v>0</v>
      </c>
      <c r="J863">
        <f>IFERROR(IF(AND(ISNUMBER(E863),ISNUMBER(F863),E863&gt;0,F863&gt;0),SQRT(3)*'Bulk Calculator'!O75*'Bulk Calculator'!U75*((E863*'Bulk Calculator'!M75)+(F863*SQRT(1-'Bulk Calculator'!M75^2)))/'Bulk Calculator'!J75/'Bulk Calculator'!K75*100,D863*'Bulk Calculator'!U75*'Bulk Calculator'!O75/'Bulk Calculator'!J75/'Bulk Calculator'!K75*100),"")</f>
        <v>0</v>
      </c>
      <c r="K863">
        <f>IFERROR(G863*B863*'Bulk Calculator'!J75/SQRT('Bulk Calculator'!S75)/1000,"")</f>
        <v>11.191520227386446</v>
      </c>
      <c r="L863">
        <f>IF(OR('Bulk Calculator'!R75="",'Bulk Calculator'!S75="",G863=""),0,IF(K863&gt;='Bulk Calculator'!R75,1,0))</f>
        <v>1</v>
      </c>
      <c r="M863">
        <f>IF(AND(H863=1,I863&lt;='OS-DORAEN'!$B$6,J863&lt;='OS-DORAEN'!$B$5,L863=1),1,0)</f>
        <v>1</v>
      </c>
      <c r="N863" t="str">
        <f t="shared" si="13"/>
        <v>R/X</v>
      </c>
    </row>
    <row r="864" spans="1:14" ht="15" customHeight="1" x14ac:dyDescent="0.35">
      <c r="A864">
        <v>75</v>
      </c>
      <c r="B864">
        <v>25</v>
      </c>
      <c r="C864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Master'!$F:$F,B864),"")</f>
        <v>96</v>
      </c>
      <c r="D864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Master'!$F:$F,B864),"")</f>
        <v>1.54</v>
      </c>
      <c r="E864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Master'!$F:$F,B864),"")</f>
        <v>1.54</v>
      </c>
      <c r="F864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Master'!$F:$F,B864),"")</f>
        <v>0.08</v>
      </c>
      <c r="G864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Master'!$F:$F,B864),"")</f>
        <v>143</v>
      </c>
      <c r="H864">
        <f>IF(AND(ISNUMBER(C864),C864&gt;='Bulk Calculator'!U75/('Bulk Calculator'!J75*'Bulk Calculator'!L75)),1,0)</f>
        <v>1</v>
      </c>
      <c r="I864">
        <f>IFERROR(IF(AND(ISNUMBER(E864),ISNUMBER(F864),E864&gt;0,F864&gt;0),SQRT(3)*'Bulk Calculator'!O75*'Bulk Calculator'!AA75*((E864*'Bulk Calculator'!Q75)+(F864*SQRT(1-'Bulk Calculator'!Q75^2)))/'Bulk Calculator'!J75/'Bulk Calculator'!K75*100,D864*'Bulk Calculator'!AA75*'Bulk Calculator'!O75/'Bulk Calculator'!J75/'Bulk Calculator'!K75*100),"")</f>
        <v>0</v>
      </c>
      <c r="J864">
        <f>IFERROR(IF(AND(ISNUMBER(E864),ISNUMBER(F864),E864&gt;0,F864&gt;0),SQRT(3)*'Bulk Calculator'!O75*'Bulk Calculator'!U75*((E864*'Bulk Calculator'!M75)+(F864*SQRT(1-'Bulk Calculator'!M75^2)))/'Bulk Calculator'!J75/'Bulk Calculator'!K75*100,D864*'Bulk Calculator'!U75*'Bulk Calculator'!O75/'Bulk Calculator'!J75/'Bulk Calculator'!K75*100),"")</f>
        <v>0</v>
      </c>
      <c r="K864">
        <f>IFERROR(G864*B864*'Bulk Calculator'!J75/SQRT('Bulk Calculator'!S75)/1000,"")</f>
        <v>7.9939430195617485</v>
      </c>
      <c r="L864">
        <f>IF(OR('Bulk Calculator'!R75="",'Bulk Calculator'!S75="",G864=""),0,IF(K864&gt;='Bulk Calculator'!R75,1,0))</f>
        <v>1</v>
      </c>
      <c r="M864">
        <f>IF(AND(H864=1,I864&lt;='OS-DORAEN'!$B$6,J864&lt;='OS-DORAEN'!$B$5,L864=1),1,0)</f>
        <v>1</v>
      </c>
      <c r="N864" t="str">
        <f t="shared" si="13"/>
        <v>R/X</v>
      </c>
    </row>
    <row r="865" spans="1:14" ht="15" customHeight="1" x14ac:dyDescent="0.35">
      <c r="A865">
        <v>75</v>
      </c>
      <c r="B865">
        <v>16</v>
      </c>
      <c r="C865">
        <f>IFERROR(SUMIFS('Cable Data Master'!$G:$G,'Cable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Master'!$F:$F,B865),"")</f>
        <v>0</v>
      </c>
      <c r="D865">
        <f>IFERROR(SUMIFS('Cable Data Master'!$K:$K,'Cable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Master'!$F:$F,B865),"")</f>
        <v>0</v>
      </c>
      <c r="E865">
        <f>IFERROR(SUMIFS('Cable Data Master'!$H:$H,'Cable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Master'!$F:$F,B865),"")</f>
        <v>0</v>
      </c>
      <c r="F865">
        <f>IFERROR(SUMIFS('Cable Data Master'!$I:$I,'Cable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Master'!$F:$F,B865),"")</f>
        <v>0</v>
      </c>
      <c r="G865">
        <f>IFERROR(SUMIFS('Cable Data Master'!$J:$J,'Cable Data Master'!$A:$A,'Bulk Calculator'!$BF75,'Cable Data Master'!$B:$B,'Bulk Calculator'!$BG75,'Cable Data Master'!$C:$C,'Bulk Calculator'!$BH75,'Cable Data Master'!$D:$D,'Bulk Calculator'!$BI75,'Cable Data Master'!$E:$E,'Bulk Calculator'!$BJ75,'Cable Data Master'!$F:$F,B865),"")</f>
        <v>0</v>
      </c>
      <c r="H865">
        <f>IF(AND(ISNUMBER(C865),C865&gt;='Bulk Calculator'!U75/('Bulk Calculator'!J75*'Bulk Calculator'!L75)),1,0)</f>
        <v>1</v>
      </c>
      <c r="I865">
        <f>IFERROR(IF(AND(ISNUMBER(E865),ISNUMBER(F865),E865&gt;0,F865&gt;0),SQRT(3)*'Bulk Calculator'!O75*'Bulk Calculator'!AA75*((E865*'Bulk Calculator'!Q75)+(F865*SQRT(1-'Bulk Calculator'!Q75^2)))/'Bulk Calculator'!J75/'Bulk Calculator'!K75*100,D865*'Bulk Calculator'!AA75*'Bulk Calculator'!O75/'Bulk Calculator'!J75/'Bulk Calculator'!K75*100),"")</f>
        <v>0</v>
      </c>
      <c r="J865">
        <f>IFERROR(IF(AND(ISNUMBER(E865),ISNUMBER(F865),E865&gt;0,F865&gt;0),SQRT(3)*'Bulk Calculator'!O75*'Bulk Calculator'!U75*((E865*'Bulk Calculator'!M75)+(F865*SQRT(1-'Bulk Calculator'!M75^2)))/'Bulk Calculator'!J75/'Bulk Calculator'!K75*100,D865*'Bulk Calculator'!U75*'Bulk Calculator'!O75/'Bulk Calculator'!J75/'Bulk Calculator'!K75*100),"")</f>
        <v>0</v>
      </c>
      <c r="K865">
        <f>IFERROR(G865*B865*'Bulk Calculator'!J75/SQRT('Bulk Calculator'!S75)/1000,"")</f>
        <v>0</v>
      </c>
      <c r="L865">
        <f>IF(OR('Bulk Calculator'!R75="",'Bulk Calculator'!S75="",G865=""),0,IF(K865&gt;='Bulk Calculator'!R75,1,0))</f>
        <v>1</v>
      </c>
      <c r="M865">
        <f>IF(AND(H865=1,I865&lt;='OS-DORAEN'!$B$6,J865&lt;='OS-DORAEN'!$B$5,L865=1),1,0)</f>
        <v>1</v>
      </c>
      <c r="N865" t="str">
        <f t="shared" si="13"/>
        <v>Manufacturer VD Ref</v>
      </c>
    </row>
    <row r="866" spans="1:14" ht="15" customHeight="1" x14ac:dyDescent="0.35">
      <c r="A866">
        <v>76</v>
      </c>
      <c r="B866">
        <v>400</v>
      </c>
      <c r="C866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Master'!$F:$F,B866),"")</f>
        <v>530</v>
      </c>
      <c r="D866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Master'!$F:$F,B866),"")</f>
        <v>0.1023</v>
      </c>
      <c r="E866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Master'!$F:$F,B866),"")</f>
        <v>0.1023</v>
      </c>
      <c r="F866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Master'!$F:$F,B866),"")</f>
        <v>7.0000000000000007E-2</v>
      </c>
      <c r="G866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Master'!$F:$F,B866),"")</f>
        <v>143</v>
      </c>
      <c r="H866">
        <f>IF(AND(ISNUMBER(C866),C866&gt;='Bulk Calculator'!U76/('Bulk Calculator'!J76*'Bulk Calculator'!L76)),1,0)</f>
        <v>1</v>
      </c>
      <c r="I866">
        <f>IFERROR(IF(AND(ISNUMBER(E866),ISNUMBER(F866),E866&gt;0,F866&gt;0),SQRT(3)*'Bulk Calculator'!O76*'Bulk Calculator'!AA76*((E866*'Bulk Calculator'!Q76)+(F866*SQRT(1-'Bulk Calculator'!Q76^2)))/'Bulk Calculator'!J76/'Bulk Calculator'!K76*100,D866*'Bulk Calculator'!AA76*'Bulk Calculator'!O76/'Bulk Calculator'!J76/'Bulk Calculator'!K76*100),"")</f>
        <v>0</v>
      </c>
      <c r="J866">
        <f>IFERROR(IF(AND(ISNUMBER(E866),ISNUMBER(F866),E866&gt;0,F866&gt;0),SQRT(3)*'Bulk Calculator'!O76*'Bulk Calculator'!U76*((E866*'Bulk Calculator'!M76)+(F866*SQRT(1-'Bulk Calculator'!M76^2)))/'Bulk Calculator'!J76/'Bulk Calculator'!K76*100,D866*'Bulk Calculator'!U76*'Bulk Calculator'!O76/'Bulk Calculator'!J76/'Bulk Calculator'!K76*100),"")</f>
        <v>0</v>
      </c>
      <c r="K866">
        <f>IFERROR(G866*B866*'Bulk Calculator'!J76/SQRT('Bulk Calculator'!S76)/1000,"")</f>
        <v>127.90308831298798</v>
      </c>
      <c r="L866">
        <f>IF(OR('Bulk Calculator'!R76="",'Bulk Calculator'!S76="",G866=""),0,IF(K866&gt;='Bulk Calculator'!R76,1,0))</f>
        <v>1</v>
      </c>
      <c r="M866">
        <f>IF(AND(H866=1,I866&lt;='OS-DORAEN'!$B$6,J866&lt;='OS-DORAEN'!$B$5,L866=1),1,0)</f>
        <v>1</v>
      </c>
      <c r="N866" t="str">
        <f t="shared" si="13"/>
        <v>R/X</v>
      </c>
    </row>
    <row r="867" spans="1:14" ht="15" customHeight="1" x14ac:dyDescent="0.35">
      <c r="A867">
        <v>76</v>
      </c>
      <c r="B867">
        <v>300</v>
      </c>
      <c r="C867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Master'!$F:$F,B867),"")</f>
        <v>455</v>
      </c>
      <c r="D867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Master'!$F:$F,B867),"")</f>
        <v>0.13</v>
      </c>
      <c r="E867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Master'!$F:$F,B867),"")</f>
        <v>0.13</v>
      </c>
      <c r="F867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Master'!$F:$F,B867),"")</f>
        <v>7.0999999999999994E-2</v>
      </c>
      <c r="G867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Master'!$F:$F,B867),"")</f>
        <v>143</v>
      </c>
      <c r="H867">
        <f>IF(AND(ISNUMBER(C867),C867&gt;='Bulk Calculator'!U76/('Bulk Calculator'!J76*'Bulk Calculator'!L76)),1,0)</f>
        <v>1</v>
      </c>
      <c r="I867">
        <f>IFERROR(IF(AND(ISNUMBER(E867),ISNUMBER(F867),E867&gt;0,F867&gt;0),SQRT(3)*'Bulk Calculator'!O76*'Bulk Calculator'!AA76*((E867*'Bulk Calculator'!Q76)+(F867*SQRT(1-'Bulk Calculator'!Q76^2)))/'Bulk Calculator'!J76/'Bulk Calculator'!K76*100,D867*'Bulk Calculator'!AA76*'Bulk Calculator'!O76/'Bulk Calculator'!J76/'Bulk Calculator'!K76*100),"")</f>
        <v>0</v>
      </c>
      <c r="J867">
        <f>IFERROR(IF(AND(ISNUMBER(E867),ISNUMBER(F867),E867&gt;0,F867&gt;0),SQRT(3)*'Bulk Calculator'!O76*'Bulk Calculator'!U76*((E867*'Bulk Calculator'!M76)+(F867*SQRT(1-'Bulk Calculator'!M76^2)))/'Bulk Calculator'!J76/'Bulk Calculator'!K76*100,D867*'Bulk Calculator'!U76*'Bulk Calculator'!O76/'Bulk Calculator'!J76/'Bulk Calculator'!K76*100),"")</f>
        <v>0</v>
      </c>
      <c r="K867">
        <f>IFERROR(G867*B867*'Bulk Calculator'!J76/SQRT('Bulk Calculator'!S76)/1000,"")</f>
        <v>95.927316234740985</v>
      </c>
      <c r="L867">
        <f>IF(OR('Bulk Calculator'!R76="",'Bulk Calculator'!S76="",G867=""),0,IF(K867&gt;='Bulk Calculator'!R76,1,0))</f>
        <v>1</v>
      </c>
      <c r="M867">
        <f>IF(AND(H867=1,I867&lt;='OS-DORAEN'!$B$6,J867&lt;='OS-DORAEN'!$B$5,L867=1),1,0)</f>
        <v>1</v>
      </c>
      <c r="N867" t="str">
        <f t="shared" si="13"/>
        <v>R/X</v>
      </c>
    </row>
    <row r="868" spans="1:14" ht="15" customHeight="1" x14ac:dyDescent="0.35">
      <c r="A868">
        <v>76</v>
      </c>
      <c r="B868">
        <v>240</v>
      </c>
      <c r="C868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Master'!$F:$F,B868),"")</f>
        <v>399</v>
      </c>
      <c r="D868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Master'!$F:$F,B868),"")</f>
        <v>0.16200000000000001</v>
      </c>
      <c r="E868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Master'!$F:$F,B868),"")</f>
        <v>0.16200000000000001</v>
      </c>
      <c r="F868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Master'!$F:$F,B868),"")</f>
        <v>7.1999999999999995E-2</v>
      </c>
      <c r="G868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Master'!$F:$F,B868),"")</f>
        <v>143</v>
      </c>
      <c r="H868">
        <f>IF(AND(ISNUMBER(C868),C868&gt;='Bulk Calculator'!U76/('Bulk Calculator'!J76*'Bulk Calculator'!L76)),1,0)</f>
        <v>1</v>
      </c>
      <c r="I868">
        <f>IFERROR(IF(AND(ISNUMBER(E868),ISNUMBER(F868),E868&gt;0,F868&gt;0),SQRT(3)*'Bulk Calculator'!O76*'Bulk Calculator'!AA76*((E868*'Bulk Calculator'!Q76)+(F868*SQRT(1-'Bulk Calculator'!Q76^2)))/'Bulk Calculator'!J76/'Bulk Calculator'!K76*100,D868*'Bulk Calculator'!AA76*'Bulk Calculator'!O76/'Bulk Calculator'!J76/'Bulk Calculator'!K76*100),"")</f>
        <v>0</v>
      </c>
      <c r="J868">
        <f>IFERROR(IF(AND(ISNUMBER(E868),ISNUMBER(F868),E868&gt;0,F868&gt;0),SQRT(3)*'Bulk Calculator'!O76*'Bulk Calculator'!U76*((E868*'Bulk Calculator'!M76)+(F868*SQRT(1-'Bulk Calculator'!M76^2)))/'Bulk Calculator'!J76/'Bulk Calculator'!K76*100,D868*'Bulk Calculator'!U76*'Bulk Calculator'!O76/'Bulk Calculator'!J76/'Bulk Calculator'!K76*100),"")</f>
        <v>0</v>
      </c>
      <c r="K868">
        <f>IFERROR(G868*B868*'Bulk Calculator'!J76/SQRT('Bulk Calculator'!S76)/1000,"")</f>
        <v>76.741852987792782</v>
      </c>
      <c r="L868">
        <f>IF(OR('Bulk Calculator'!R76="",'Bulk Calculator'!S76="",G868=""),0,IF(K868&gt;='Bulk Calculator'!R76,1,0))</f>
        <v>1</v>
      </c>
      <c r="M868">
        <f>IF(AND(H868=1,I868&lt;='OS-DORAEN'!$B$6,J868&lt;='OS-DORAEN'!$B$5,L868=1),1,0)</f>
        <v>1</v>
      </c>
      <c r="N868" t="str">
        <f t="shared" si="13"/>
        <v>R/X</v>
      </c>
    </row>
    <row r="869" spans="1:14" ht="15" customHeight="1" x14ac:dyDescent="0.35">
      <c r="A869">
        <v>76</v>
      </c>
      <c r="B869">
        <v>185</v>
      </c>
      <c r="C869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Master'!$F:$F,B869),"")</f>
        <v>337</v>
      </c>
      <c r="D869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Master'!$F:$F,B869),"")</f>
        <v>0.21099999999999999</v>
      </c>
      <c r="E869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Master'!$F:$F,B869),"")</f>
        <v>0.21099999999999999</v>
      </c>
      <c r="F869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Master'!$F:$F,B869),"")</f>
        <v>7.1999999999999995E-2</v>
      </c>
      <c r="G869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Master'!$F:$F,B869),"")</f>
        <v>143</v>
      </c>
      <c r="H869">
        <f>IF(AND(ISNUMBER(C869),C869&gt;='Bulk Calculator'!U76/('Bulk Calculator'!J76*'Bulk Calculator'!L76)),1,0)</f>
        <v>1</v>
      </c>
      <c r="I869">
        <f>IFERROR(IF(AND(ISNUMBER(E869),ISNUMBER(F869),E869&gt;0,F869&gt;0),SQRT(3)*'Bulk Calculator'!O76*'Bulk Calculator'!AA76*((E869*'Bulk Calculator'!Q76)+(F869*SQRT(1-'Bulk Calculator'!Q76^2)))/'Bulk Calculator'!J76/'Bulk Calculator'!K76*100,D869*'Bulk Calculator'!AA76*'Bulk Calculator'!O76/'Bulk Calculator'!J76/'Bulk Calculator'!K76*100),"")</f>
        <v>0</v>
      </c>
      <c r="J869">
        <f>IFERROR(IF(AND(ISNUMBER(E869),ISNUMBER(F869),E869&gt;0,F869&gt;0),SQRT(3)*'Bulk Calculator'!O76*'Bulk Calculator'!U76*((E869*'Bulk Calculator'!M76)+(F869*SQRT(1-'Bulk Calculator'!M76^2)))/'Bulk Calculator'!J76/'Bulk Calculator'!K76*100,D869*'Bulk Calculator'!U76*'Bulk Calculator'!O76/'Bulk Calculator'!J76/'Bulk Calculator'!K76*100),"")</f>
        <v>0</v>
      </c>
      <c r="K869">
        <f>IFERROR(G869*B869*'Bulk Calculator'!J76/SQRT('Bulk Calculator'!S76)/1000,"")</f>
        <v>59.155178344756941</v>
      </c>
      <c r="L869">
        <f>IF(OR('Bulk Calculator'!R76="",'Bulk Calculator'!S76="",G869=""),0,IF(K869&gt;='Bulk Calculator'!R76,1,0))</f>
        <v>1</v>
      </c>
      <c r="M869">
        <f>IF(AND(H869=1,I869&lt;='OS-DORAEN'!$B$6,J869&lt;='OS-DORAEN'!$B$5,L869=1),1,0)</f>
        <v>1</v>
      </c>
      <c r="N869" t="str">
        <f t="shared" si="13"/>
        <v>R/X</v>
      </c>
    </row>
    <row r="870" spans="1:14" ht="15" customHeight="1" x14ac:dyDescent="0.35">
      <c r="A870">
        <v>76</v>
      </c>
      <c r="B870">
        <v>150</v>
      </c>
      <c r="C870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Master'!$F:$F,B870),"")</f>
        <v>292</v>
      </c>
      <c r="D870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Master'!$F:$F,B870),"")</f>
        <v>0.26500000000000001</v>
      </c>
      <c r="E870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Master'!$F:$F,B870),"")</f>
        <v>0.26500000000000001</v>
      </c>
      <c r="F870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Master'!$F:$F,B870),"")</f>
        <v>7.1999999999999995E-2</v>
      </c>
      <c r="G870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Master'!$F:$F,B870),"")</f>
        <v>143</v>
      </c>
      <c r="H870">
        <f>IF(AND(ISNUMBER(C870),C870&gt;='Bulk Calculator'!U76/('Bulk Calculator'!J76*'Bulk Calculator'!L76)),1,0)</f>
        <v>1</v>
      </c>
      <c r="I870">
        <f>IFERROR(IF(AND(ISNUMBER(E870),ISNUMBER(F870),E870&gt;0,F870&gt;0),SQRT(3)*'Bulk Calculator'!O76*'Bulk Calculator'!AA76*((E870*'Bulk Calculator'!Q76)+(F870*SQRT(1-'Bulk Calculator'!Q76^2)))/'Bulk Calculator'!J76/'Bulk Calculator'!K76*100,D870*'Bulk Calculator'!AA76*'Bulk Calculator'!O76/'Bulk Calculator'!J76/'Bulk Calculator'!K76*100),"")</f>
        <v>0</v>
      </c>
      <c r="J870">
        <f>IFERROR(IF(AND(ISNUMBER(E870),ISNUMBER(F870),E870&gt;0,F870&gt;0),SQRT(3)*'Bulk Calculator'!O76*'Bulk Calculator'!U76*((E870*'Bulk Calculator'!M76)+(F870*SQRT(1-'Bulk Calculator'!M76^2)))/'Bulk Calculator'!J76/'Bulk Calculator'!K76*100,D870*'Bulk Calculator'!U76*'Bulk Calculator'!O76/'Bulk Calculator'!J76/'Bulk Calculator'!K76*100),"")</f>
        <v>0</v>
      </c>
      <c r="K870">
        <f>IFERROR(G870*B870*'Bulk Calculator'!J76/SQRT('Bulk Calculator'!S76)/1000,"")</f>
        <v>47.963658117370493</v>
      </c>
      <c r="L870">
        <f>IF(OR('Bulk Calculator'!R76="",'Bulk Calculator'!S76="",G870=""),0,IF(K870&gt;='Bulk Calculator'!R76,1,0))</f>
        <v>1</v>
      </c>
      <c r="M870">
        <f>IF(AND(H870=1,I870&lt;='OS-DORAEN'!$B$6,J870&lt;='OS-DORAEN'!$B$5,L870=1),1,0)</f>
        <v>1</v>
      </c>
      <c r="N870" t="str">
        <f t="shared" si="13"/>
        <v>R/X</v>
      </c>
    </row>
    <row r="871" spans="1:14" ht="15" customHeight="1" x14ac:dyDescent="0.35">
      <c r="A871">
        <v>76</v>
      </c>
      <c r="B871">
        <v>120</v>
      </c>
      <c r="C871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Master'!$F:$F,B871),"")</f>
        <v>257</v>
      </c>
      <c r="D871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Master'!$F:$F,B871),"")</f>
        <v>0.32500000000000001</v>
      </c>
      <c r="E871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Master'!$F:$F,B871),"")</f>
        <v>0.32500000000000001</v>
      </c>
      <c r="F871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Master'!$F:$F,B871),"")</f>
        <v>7.1999999999999995E-2</v>
      </c>
      <c r="G871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Master'!$F:$F,B871),"")</f>
        <v>143</v>
      </c>
      <c r="H871">
        <f>IF(AND(ISNUMBER(C871),C871&gt;='Bulk Calculator'!U76/('Bulk Calculator'!J76*'Bulk Calculator'!L76)),1,0)</f>
        <v>1</v>
      </c>
      <c r="I871">
        <f>IFERROR(IF(AND(ISNUMBER(E871),ISNUMBER(F871),E871&gt;0,F871&gt;0),SQRT(3)*'Bulk Calculator'!O76*'Bulk Calculator'!AA76*((E871*'Bulk Calculator'!Q76)+(F871*SQRT(1-'Bulk Calculator'!Q76^2)))/'Bulk Calculator'!J76/'Bulk Calculator'!K76*100,D871*'Bulk Calculator'!AA76*'Bulk Calculator'!O76/'Bulk Calculator'!J76/'Bulk Calculator'!K76*100),"")</f>
        <v>0</v>
      </c>
      <c r="J871">
        <f>IFERROR(IF(AND(ISNUMBER(E871),ISNUMBER(F871),E871&gt;0,F871&gt;0),SQRT(3)*'Bulk Calculator'!O76*'Bulk Calculator'!U76*((E871*'Bulk Calculator'!M76)+(F871*SQRT(1-'Bulk Calculator'!M76^2)))/'Bulk Calculator'!J76/'Bulk Calculator'!K76*100,D871*'Bulk Calculator'!U76*'Bulk Calculator'!O76/'Bulk Calculator'!J76/'Bulk Calculator'!K76*100),"")</f>
        <v>0</v>
      </c>
      <c r="K871">
        <f>IFERROR(G871*B871*'Bulk Calculator'!J76/SQRT('Bulk Calculator'!S76)/1000,"")</f>
        <v>38.370926493896391</v>
      </c>
      <c r="L871">
        <f>IF(OR('Bulk Calculator'!R76="",'Bulk Calculator'!S76="",G871=""),0,IF(K871&gt;='Bulk Calculator'!R76,1,0))</f>
        <v>1</v>
      </c>
      <c r="M871">
        <f>IF(AND(H871=1,I871&lt;='OS-DORAEN'!$B$6,J871&lt;='OS-DORAEN'!$B$5,L871=1),1,0)</f>
        <v>1</v>
      </c>
      <c r="N871" t="str">
        <f t="shared" si="13"/>
        <v>R/X</v>
      </c>
    </row>
    <row r="872" spans="1:14" ht="15" customHeight="1" x14ac:dyDescent="0.35">
      <c r="A872">
        <v>76</v>
      </c>
      <c r="B872">
        <v>95</v>
      </c>
      <c r="C872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Master'!$F:$F,B872),"")</f>
        <v>221</v>
      </c>
      <c r="D872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Master'!$F:$F,B872),"")</f>
        <v>0.41</v>
      </c>
      <c r="E872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Master'!$F:$F,B872),"")</f>
        <v>0.41</v>
      </c>
      <c r="F872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Master'!$F:$F,B872),"")</f>
        <v>7.3999999999999996E-2</v>
      </c>
      <c r="G872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Master'!$F:$F,B872),"")</f>
        <v>143</v>
      </c>
      <c r="H872">
        <f>IF(AND(ISNUMBER(C872),C872&gt;='Bulk Calculator'!U76/('Bulk Calculator'!J76*'Bulk Calculator'!L76)),1,0)</f>
        <v>1</v>
      </c>
      <c r="I872">
        <f>IFERROR(IF(AND(ISNUMBER(E872),ISNUMBER(F872),E872&gt;0,F872&gt;0),SQRT(3)*'Bulk Calculator'!O76*'Bulk Calculator'!AA76*((E872*'Bulk Calculator'!Q76)+(F872*SQRT(1-'Bulk Calculator'!Q76^2)))/'Bulk Calculator'!J76/'Bulk Calculator'!K76*100,D872*'Bulk Calculator'!AA76*'Bulk Calculator'!O76/'Bulk Calculator'!J76/'Bulk Calculator'!K76*100),"")</f>
        <v>0</v>
      </c>
      <c r="J872">
        <f>IFERROR(IF(AND(ISNUMBER(E872),ISNUMBER(F872),E872&gt;0,F872&gt;0),SQRT(3)*'Bulk Calculator'!O76*'Bulk Calculator'!U76*((E872*'Bulk Calculator'!M76)+(F872*SQRT(1-'Bulk Calculator'!M76^2)))/'Bulk Calculator'!J76/'Bulk Calculator'!K76*100,D872*'Bulk Calculator'!U76*'Bulk Calculator'!O76/'Bulk Calculator'!J76/'Bulk Calculator'!K76*100),"")</f>
        <v>0</v>
      </c>
      <c r="K872">
        <f>IFERROR(G872*B872*'Bulk Calculator'!J76/SQRT('Bulk Calculator'!S76)/1000,"")</f>
        <v>30.376983474334644</v>
      </c>
      <c r="L872">
        <f>IF(OR('Bulk Calculator'!R76="",'Bulk Calculator'!S76="",G872=""),0,IF(K872&gt;='Bulk Calculator'!R76,1,0))</f>
        <v>1</v>
      </c>
      <c r="M872">
        <f>IF(AND(H872=1,I872&lt;='OS-DORAEN'!$B$6,J872&lt;='OS-DORAEN'!$B$5,L872=1),1,0)</f>
        <v>1</v>
      </c>
      <c r="N872" t="str">
        <f t="shared" si="13"/>
        <v>R/X</v>
      </c>
    </row>
    <row r="873" spans="1:14" ht="15" customHeight="1" x14ac:dyDescent="0.35">
      <c r="A873">
        <v>76</v>
      </c>
      <c r="B873">
        <v>70</v>
      </c>
      <c r="C873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Master'!$F:$F,B873),"")</f>
        <v>179</v>
      </c>
      <c r="D873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Master'!$F:$F,B873),"")</f>
        <v>0.56699999999999995</v>
      </c>
      <c r="E873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Master'!$F:$F,B873),"")</f>
        <v>0.56699999999999995</v>
      </c>
      <c r="F873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Master'!$F:$F,B873),"")</f>
        <v>7.6999999999999999E-2</v>
      </c>
      <c r="G873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Master'!$F:$F,B873),"")</f>
        <v>143</v>
      </c>
      <c r="H873">
        <f>IF(AND(ISNUMBER(C873),C873&gt;='Bulk Calculator'!U76/('Bulk Calculator'!J76*'Bulk Calculator'!L76)),1,0)</f>
        <v>1</v>
      </c>
      <c r="I873">
        <f>IFERROR(IF(AND(ISNUMBER(E873),ISNUMBER(F873),E873&gt;0,F873&gt;0),SQRT(3)*'Bulk Calculator'!O76*'Bulk Calculator'!AA76*((E873*'Bulk Calculator'!Q76)+(F873*SQRT(1-'Bulk Calculator'!Q76^2)))/'Bulk Calculator'!J76/'Bulk Calculator'!K76*100,D873*'Bulk Calculator'!AA76*'Bulk Calculator'!O76/'Bulk Calculator'!J76/'Bulk Calculator'!K76*100),"")</f>
        <v>0</v>
      </c>
      <c r="J873">
        <f>IFERROR(IF(AND(ISNUMBER(E873),ISNUMBER(F873),E873&gt;0,F873&gt;0),SQRT(3)*'Bulk Calculator'!O76*'Bulk Calculator'!U76*((E873*'Bulk Calculator'!M76)+(F873*SQRT(1-'Bulk Calculator'!M76^2)))/'Bulk Calculator'!J76/'Bulk Calculator'!K76*100,D873*'Bulk Calculator'!U76*'Bulk Calculator'!O76/'Bulk Calculator'!J76/'Bulk Calculator'!K76*100),"")</f>
        <v>0</v>
      </c>
      <c r="K873">
        <f>IFERROR(G873*B873*'Bulk Calculator'!J76/SQRT('Bulk Calculator'!S76)/1000,"")</f>
        <v>22.383040454772893</v>
      </c>
      <c r="L873">
        <f>IF(OR('Bulk Calculator'!R76="",'Bulk Calculator'!S76="",G873=""),0,IF(K873&gt;='Bulk Calculator'!R76,1,0))</f>
        <v>1</v>
      </c>
      <c r="M873">
        <f>IF(AND(H873=1,I873&lt;='OS-DORAEN'!$B$6,J873&lt;='OS-DORAEN'!$B$5,L873=1),1,0)</f>
        <v>1</v>
      </c>
      <c r="N873" t="str">
        <f t="shared" si="13"/>
        <v>R/X</v>
      </c>
    </row>
    <row r="874" spans="1:14" ht="15" customHeight="1" x14ac:dyDescent="0.35">
      <c r="A874">
        <v>76</v>
      </c>
      <c r="B874">
        <v>50</v>
      </c>
      <c r="C874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Master'!$F:$F,B874),"")</f>
        <v>142</v>
      </c>
      <c r="D874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Master'!$F:$F,B874),"")</f>
        <v>0.82</v>
      </c>
      <c r="E874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Master'!$F:$F,B874),"")</f>
        <v>0.82</v>
      </c>
      <c r="F874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Master'!$F:$F,B874),"")</f>
        <v>7.8E-2</v>
      </c>
      <c r="G874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Master'!$F:$F,B874),"")</f>
        <v>143</v>
      </c>
      <c r="H874">
        <f>IF(AND(ISNUMBER(C874),C874&gt;='Bulk Calculator'!U76/('Bulk Calculator'!J76*'Bulk Calculator'!L76)),1,0)</f>
        <v>1</v>
      </c>
      <c r="I874">
        <f>IFERROR(IF(AND(ISNUMBER(E874),ISNUMBER(F874),E874&gt;0,F874&gt;0),SQRT(3)*'Bulk Calculator'!O76*'Bulk Calculator'!AA76*((E874*'Bulk Calculator'!Q76)+(F874*SQRT(1-'Bulk Calculator'!Q76^2)))/'Bulk Calculator'!J76/'Bulk Calculator'!K76*100,D874*'Bulk Calculator'!AA76*'Bulk Calculator'!O76/'Bulk Calculator'!J76/'Bulk Calculator'!K76*100),"")</f>
        <v>0</v>
      </c>
      <c r="J874">
        <f>IFERROR(IF(AND(ISNUMBER(E874),ISNUMBER(F874),E874&gt;0,F874&gt;0),SQRT(3)*'Bulk Calculator'!O76*'Bulk Calculator'!U76*((E874*'Bulk Calculator'!M76)+(F874*SQRT(1-'Bulk Calculator'!M76^2)))/'Bulk Calculator'!J76/'Bulk Calculator'!K76*100,D874*'Bulk Calculator'!U76*'Bulk Calculator'!O76/'Bulk Calculator'!J76/'Bulk Calculator'!K76*100),"")</f>
        <v>0</v>
      </c>
      <c r="K874">
        <f>IFERROR(G874*B874*'Bulk Calculator'!J76/SQRT('Bulk Calculator'!S76)/1000,"")</f>
        <v>15.987886039123497</v>
      </c>
      <c r="L874">
        <f>IF(OR('Bulk Calculator'!R76="",'Bulk Calculator'!S76="",G874=""),0,IF(K874&gt;='Bulk Calculator'!R76,1,0))</f>
        <v>1</v>
      </c>
      <c r="M874">
        <f>IF(AND(H874=1,I874&lt;='OS-DORAEN'!$B$6,J874&lt;='OS-DORAEN'!$B$5,L874=1),1,0)</f>
        <v>1</v>
      </c>
      <c r="N874" t="str">
        <f t="shared" si="13"/>
        <v>R/X</v>
      </c>
    </row>
    <row r="875" spans="1:14" ht="15" customHeight="1" x14ac:dyDescent="0.35">
      <c r="A875">
        <v>76</v>
      </c>
      <c r="B875">
        <v>35</v>
      </c>
      <c r="C875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Master'!$F:$F,B875),"")</f>
        <v>117</v>
      </c>
      <c r="D875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Master'!$F:$F,B875),"")</f>
        <v>1.1100000000000001</v>
      </c>
      <c r="E875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Master'!$F:$F,B875),"")</f>
        <v>1.1100000000000001</v>
      </c>
      <c r="F875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Master'!$F:$F,B875),"")</f>
        <v>0.08</v>
      </c>
      <c r="G875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Master'!$F:$F,B875),"")</f>
        <v>143</v>
      </c>
      <c r="H875">
        <f>IF(AND(ISNUMBER(C875),C875&gt;='Bulk Calculator'!U76/('Bulk Calculator'!J76*'Bulk Calculator'!L76)),1,0)</f>
        <v>1</v>
      </c>
      <c r="I875">
        <f>IFERROR(IF(AND(ISNUMBER(E875),ISNUMBER(F875),E875&gt;0,F875&gt;0),SQRT(3)*'Bulk Calculator'!O76*'Bulk Calculator'!AA76*((E875*'Bulk Calculator'!Q76)+(F875*SQRT(1-'Bulk Calculator'!Q76^2)))/'Bulk Calculator'!J76/'Bulk Calculator'!K76*100,D875*'Bulk Calculator'!AA76*'Bulk Calculator'!O76/'Bulk Calculator'!J76/'Bulk Calculator'!K76*100),"")</f>
        <v>0</v>
      </c>
      <c r="J875">
        <f>IFERROR(IF(AND(ISNUMBER(E875),ISNUMBER(F875),E875&gt;0,F875&gt;0),SQRT(3)*'Bulk Calculator'!O76*'Bulk Calculator'!U76*((E875*'Bulk Calculator'!M76)+(F875*SQRT(1-'Bulk Calculator'!M76^2)))/'Bulk Calculator'!J76/'Bulk Calculator'!K76*100,D875*'Bulk Calculator'!U76*'Bulk Calculator'!O76/'Bulk Calculator'!J76/'Bulk Calculator'!K76*100),"")</f>
        <v>0</v>
      </c>
      <c r="K875">
        <f>IFERROR(G875*B875*'Bulk Calculator'!J76/SQRT('Bulk Calculator'!S76)/1000,"")</f>
        <v>11.191520227386446</v>
      </c>
      <c r="L875">
        <f>IF(OR('Bulk Calculator'!R76="",'Bulk Calculator'!S76="",G875=""),0,IF(K875&gt;='Bulk Calculator'!R76,1,0))</f>
        <v>1</v>
      </c>
      <c r="M875">
        <f>IF(AND(H875=1,I875&lt;='OS-DORAEN'!$B$6,J875&lt;='OS-DORAEN'!$B$5,L875=1),1,0)</f>
        <v>1</v>
      </c>
      <c r="N875" t="str">
        <f t="shared" si="13"/>
        <v>R/X</v>
      </c>
    </row>
    <row r="876" spans="1:14" ht="15" customHeight="1" x14ac:dyDescent="0.35">
      <c r="A876">
        <v>76</v>
      </c>
      <c r="B876">
        <v>25</v>
      </c>
      <c r="C876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Master'!$F:$F,B876),"")</f>
        <v>96</v>
      </c>
      <c r="D876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Master'!$F:$F,B876),"")</f>
        <v>1.54</v>
      </c>
      <c r="E876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Master'!$F:$F,B876),"")</f>
        <v>1.54</v>
      </c>
      <c r="F876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Master'!$F:$F,B876),"")</f>
        <v>0.08</v>
      </c>
      <c r="G876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Master'!$F:$F,B876),"")</f>
        <v>143</v>
      </c>
      <c r="H876">
        <f>IF(AND(ISNUMBER(C876),C876&gt;='Bulk Calculator'!U76/('Bulk Calculator'!J76*'Bulk Calculator'!L76)),1,0)</f>
        <v>1</v>
      </c>
      <c r="I876">
        <f>IFERROR(IF(AND(ISNUMBER(E876),ISNUMBER(F876),E876&gt;0,F876&gt;0),SQRT(3)*'Bulk Calculator'!O76*'Bulk Calculator'!AA76*((E876*'Bulk Calculator'!Q76)+(F876*SQRT(1-'Bulk Calculator'!Q76^2)))/'Bulk Calculator'!J76/'Bulk Calculator'!K76*100,D876*'Bulk Calculator'!AA76*'Bulk Calculator'!O76/'Bulk Calculator'!J76/'Bulk Calculator'!K76*100),"")</f>
        <v>0</v>
      </c>
      <c r="J876">
        <f>IFERROR(IF(AND(ISNUMBER(E876),ISNUMBER(F876),E876&gt;0,F876&gt;0),SQRT(3)*'Bulk Calculator'!O76*'Bulk Calculator'!U76*((E876*'Bulk Calculator'!M76)+(F876*SQRT(1-'Bulk Calculator'!M76^2)))/'Bulk Calculator'!J76/'Bulk Calculator'!K76*100,D876*'Bulk Calculator'!U76*'Bulk Calculator'!O76/'Bulk Calculator'!J76/'Bulk Calculator'!K76*100),"")</f>
        <v>0</v>
      </c>
      <c r="K876">
        <f>IFERROR(G876*B876*'Bulk Calculator'!J76/SQRT('Bulk Calculator'!S76)/1000,"")</f>
        <v>7.9939430195617485</v>
      </c>
      <c r="L876">
        <f>IF(OR('Bulk Calculator'!R76="",'Bulk Calculator'!S76="",G876=""),0,IF(K876&gt;='Bulk Calculator'!R76,1,0))</f>
        <v>1</v>
      </c>
      <c r="M876">
        <f>IF(AND(H876=1,I876&lt;='OS-DORAEN'!$B$6,J876&lt;='OS-DORAEN'!$B$5,L876=1),1,0)</f>
        <v>1</v>
      </c>
      <c r="N876" t="str">
        <f t="shared" si="13"/>
        <v>R/X</v>
      </c>
    </row>
    <row r="877" spans="1:14" ht="15" customHeight="1" x14ac:dyDescent="0.35">
      <c r="A877">
        <v>76</v>
      </c>
      <c r="B877">
        <v>16</v>
      </c>
      <c r="C877">
        <f>IFERROR(SUMIFS('Cable Data Master'!$G:$G,'Cable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Master'!$F:$F,B877),"")</f>
        <v>0</v>
      </c>
      <c r="D877">
        <f>IFERROR(SUMIFS('Cable Data Master'!$K:$K,'Cable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Master'!$F:$F,B877),"")</f>
        <v>0</v>
      </c>
      <c r="E877">
        <f>IFERROR(SUMIFS('Cable Data Master'!$H:$H,'Cable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Master'!$F:$F,B877),"")</f>
        <v>0</v>
      </c>
      <c r="F877">
        <f>IFERROR(SUMIFS('Cable Data Master'!$I:$I,'Cable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Master'!$F:$F,B877),"")</f>
        <v>0</v>
      </c>
      <c r="G877">
        <f>IFERROR(SUMIFS('Cable Data Master'!$J:$J,'Cable Data Master'!$A:$A,'Bulk Calculator'!$BF76,'Cable Data Master'!$B:$B,'Bulk Calculator'!$BG76,'Cable Data Master'!$C:$C,'Bulk Calculator'!$BH76,'Cable Data Master'!$D:$D,'Bulk Calculator'!$BI76,'Cable Data Master'!$E:$E,'Bulk Calculator'!$BJ76,'Cable Data Master'!$F:$F,B877),"")</f>
        <v>0</v>
      </c>
      <c r="H877">
        <f>IF(AND(ISNUMBER(C877),C877&gt;='Bulk Calculator'!U76/('Bulk Calculator'!J76*'Bulk Calculator'!L76)),1,0)</f>
        <v>1</v>
      </c>
      <c r="I877">
        <f>IFERROR(IF(AND(ISNUMBER(E877),ISNUMBER(F877),E877&gt;0,F877&gt;0),SQRT(3)*'Bulk Calculator'!O76*'Bulk Calculator'!AA76*((E877*'Bulk Calculator'!Q76)+(F877*SQRT(1-'Bulk Calculator'!Q76^2)))/'Bulk Calculator'!J76/'Bulk Calculator'!K76*100,D877*'Bulk Calculator'!AA76*'Bulk Calculator'!O76/'Bulk Calculator'!J76/'Bulk Calculator'!K76*100),"")</f>
        <v>0</v>
      </c>
      <c r="J877">
        <f>IFERROR(IF(AND(ISNUMBER(E877),ISNUMBER(F877),E877&gt;0,F877&gt;0),SQRT(3)*'Bulk Calculator'!O76*'Bulk Calculator'!U76*((E877*'Bulk Calculator'!M76)+(F877*SQRT(1-'Bulk Calculator'!M76^2)))/'Bulk Calculator'!J76/'Bulk Calculator'!K76*100,D877*'Bulk Calculator'!U76*'Bulk Calculator'!O76/'Bulk Calculator'!J76/'Bulk Calculator'!K76*100),"")</f>
        <v>0</v>
      </c>
      <c r="K877">
        <f>IFERROR(G877*B877*'Bulk Calculator'!J76/SQRT('Bulk Calculator'!S76)/1000,"")</f>
        <v>0</v>
      </c>
      <c r="L877">
        <f>IF(OR('Bulk Calculator'!R76="",'Bulk Calculator'!S76="",G877=""),0,IF(K877&gt;='Bulk Calculator'!R76,1,0))</f>
        <v>1</v>
      </c>
      <c r="M877">
        <f>IF(AND(H877=1,I877&lt;='OS-DORAEN'!$B$6,J877&lt;='OS-DORAEN'!$B$5,L877=1),1,0)</f>
        <v>1</v>
      </c>
      <c r="N877" t="str">
        <f t="shared" si="13"/>
        <v>Manufacturer VD Ref</v>
      </c>
    </row>
    <row r="878" spans="1:14" ht="15" customHeight="1" x14ac:dyDescent="0.35">
      <c r="A878">
        <v>77</v>
      </c>
      <c r="B878">
        <v>400</v>
      </c>
      <c r="C878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Master'!$F:$F,B878),"")</f>
        <v>530</v>
      </c>
      <c r="D878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Master'!$F:$F,B878),"")</f>
        <v>0.1023</v>
      </c>
      <c r="E878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Master'!$F:$F,B878),"")</f>
        <v>0.1023</v>
      </c>
      <c r="F878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Master'!$F:$F,B878),"")</f>
        <v>7.0000000000000007E-2</v>
      </c>
      <c r="G878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Master'!$F:$F,B878),"")</f>
        <v>143</v>
      </c>
      <c r="H878">
        <f>IF(AND(ISNUMBER(C878),C878&gt;='Bulk Calculator'!U77/('Bulk Calculator'!J77*'Bulk Calculator'!L77)),1,0)</f>
        <v>1</v>
      </c>
      <c r="I878">
        <f>IFERROR(IF(AND(ISNUMBER(E878),ISNUMBER(F878),E878&gt;0,F878&gt;0),SQRT(3)*'Bulk Calculator'!O77*'Bulk Calculator'!AA77*((E878*'Bulk Calculator'!Q77)+(F878*SQRT(1-'Bulk Calculator'!Q77^2)))/'Bulk Calculator'!J77/'Bulk Calculator'!K77*100,D878*'Bulk Calculator'!AA77*'Bulk Calculator'!O77/'Bulk Calculator'!J77/'Bulk Calculator'!K77*100),"")</f>
        <v>0</v>
      </c>
      <c r="J878">
        <f>IFERROR(IF(AND(ISNUMBER(E878),ISNUMBER(F878),E878&gt;0,F878&gt;0),SQRT(3)*'Bulk Calculator'!O77*'Bulk Calculator'!U77*((E878*'Bulk Calculator'!M77)+(F878*SQRT(1-'Bulk Calculator'!M77^2)))/'Bulk Calculator'!J77/'Bulk Calculator'!K77*100,D878*'Bulk Calculator'!U77*'Bulk Calculator'!O77/'Bulk Calculator'!J77/'Bulk Calculator'!K77*100),"")</f>
        <v>0</v>
      </c>
      <c r="K878">
        <f>IFERROR(G878*B878*'Bulk Calculator'!J77/SQRT('Bulk Calculator'!S77)/1000,"")</f>
        <v>127.90308831298798</v>
      </c>
      <c r="L878">
        <f>IF(OR('Bulk Calculator'!R77="",'Bulk Calculator'!S77="",G878=""),0,IF(K878&gt;='Bulk Calculator'!R77,1,0))</f>
        <v>1</v>
      </c>
      <c r="M878">
        <f>IF(AND(H878=1,I878&lt;='OS-DORAEN'!$B$6,J878&lt;='OS-DORAEN'!$B$5,L878=1),1,0)</f>
        <v>1</v>
      </c>
      <c r="N878" t="str">
        <f t="shared" si="13"/>
        <v>R/X</v>
      </c>
    </row>
    <row r="879" spans="1:14" ht="15" customHeight="1" x14ac:dyDescent="0.35">
      <c r="A879">
        <v>77</v>
      </c>
      <c r="B879">
        <v>300</v>
      </c>
      <c r="C879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Master'!$F:$F,B879),"")</f>
        <v>455</v>
      </c>
      <c r="D879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Master'!$F:$F,B879),"")</f>
        <v>0.13</v>
      </c>
      <c r="E879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Master'!$F:$F,B879),"")</f>
        <v>0.13</v>
      </c>
      <c r="F879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Master'!$F:$F,B879),"")</f>
        <v>7.0999999999999994E-2</v>
      </c>
      <c r="G879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Master'!$F:$F,B879),"")</f>
        <v>143</v>
      </c>
      <c r="H879">
        <f>IF(AND(ISNUMBER(C879),C879&gt;='Bulk Calculator'!U77/('Bulk Calculator'!J77*'Bulk Calculator'!L77)),1,0)</f>
        <v>1</v>
      </c>
      <c r="I879">
        <f>IFERROR(IF(AND(ISNUMBER(E879),ISNUMBER(F879),E879&gt;0,F879&gt;0),SQRT(3)*'Bulk Calculator'!O77*'Bulk Calculator'!AA77*((E879*'Bulk Calculator'!Q77)+(F879*SQRT(1-'Bulk Calculator'!Q77^2)))/'Bulk Calculator'!J77/'Bulk Calculator'!K77*100,D879*'Bulk Calculator'!AA77*'Bulk Calculator'!O77/'Bulk Calculator'!J77/'Bulk Calculator'!K77*100),"")</f>
        <v>0</v>
      </c>
      <c r="J879">
        <f>IFERROR(IF(AND(ISNUMBER(E879),ISNUMBER(F879),E879&gt;0,F879&gt;0),SQRT(3)*'Bulk Calculator'!O77*'Bulk Calculator'!U77*((E879*'Bulk Calculator'!M77)+(F879*SQRT(1-'Bulk Calculator'!M77^2)))/'Bulk Calculator'!J77/'Bulk Calculator'!K77*100,D879*'Bulk Calculator'!U77*'Bulk Calculator'!O77/'Bulk Calculator'!J77/'Bulk Calculator'!K77*100),"")</f>
        <v>0</v>
      </c>
      <c r="K879">
        <f>IFERROR(G879*B879*'Bulk Calculator'!J77/SQRT('Bulk Calculator'!S77)/1000,"")</f>
        <v>95.927316234740985</v>
      </c>
      <c r="L879">
        <f>IF(OR('Bulk Calculator'!R77="",'Bulk Calculator'!S77="",G879=""),0,IF(K879&gt;='Bulk Calculator'!R77,1,0))</f>
        <v>1</v>
      </c>
      <c r="M879">
        <f>IF(AND(H879=1,I879&lt;='OS-DORAEN'!$B$6,J879&lt;='OS-DORAEN'!$B$5,L879=1),1,0)</f>
        <v>1</v>
      </c>
      <c r="N879" t="str">
        <f t="shared" si="13"/>
        <v>R/X</v>
      </c>
    </row>
    <row r="880" spans="1:14" ht="15" customHeight="1" x14ac:dyDescent="0.35">
      <c r="A880">
        <v>77</v>
      </c>
      <c r="B880">
        <v>240</v>
      </c>
      <c r="C880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Master'!$F:$F,B880),"")</f>
        <v>399</v>
      </c>
      <c r="D880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Master'!$F:$F,B880),"")</f>
        <v>0.16200000000000001</v>
      </c>
      <c r="E880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Master'!$F:$F,B880),"")</f>
        <v>0.16200000000000001</v>
      </c>
      <c r="F880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Master'!$F:$F,B880),"")</f>
        <v>7.1999999999999995E-2</v>
      </c>
      <c r="G880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Master'!$F:$F,B880),"")</f>
        <v>143</v>
      </c>
      <c r="H880">
        <f>IF(AND(ISNUMBER(C880),C880&gt;='Bulk Calculator'!U77/('Bulk Calculator'!J77*'Bulk Calculator'!L77)),1,0)</f>
        <v>1</v>
      </c>
      <c r="I880">
        <f>IFERROR(IF(AND(ISNUMBER(E880),ISNUMBER(F880),E880&gt;0,F880&gt;0),SQRT(3)*'Bulk Calculator'!O77*'Bulk Calculator'!AA77*((E880*'Bulk Calculator'!Q77)+(F880*SQRT(1-'Bulk Calculator'!Q77^2)))/'Bulk Calculator'!J77/'Bulk Calculator'!K77*100,D880*'Bulk Calculator'!AA77*'Bulk Calculator'!O77/'Bulk Calculator'!J77/'Bulk Calculator'!K77*100),"")</f>
        <v>0</v>
      </c>
      <c r="J880">
        <f>IFERROR(IF(AND(ISNUMBER(E880),ISNUMBER(F880),E880&gt;0,F880&gt;0),SQRT(3)*'Bulk Calculator'!O77*'Bulk Calculator'!U77*((E880*'Bulk Calculator'!M77)+(F880*SQRT(1-'Bulk Calculator'!M77^2)))/'Bulk Calculator'!J77/'Bulk Calculator'!K77*100,D880*'Bulk Calculator'!U77*'Bulk Calculator'!O77/'Bulk Calculator'!J77/'Bulk Calculator'!K77*100),"")</f>
        <v>0</v>
      </c>
      <c r="K880">
        <f>IFERROR(G880*B880*'Bulk Calculator'!J77/SQRT('Bulk Calculator'!S77)/1000,"")</f>
        <v>76.741852987792782</v>
      </c>
      <c r="L880">
        <f>IF(OR('Bulk Calculator'!R77="",'Bulk Calculator'!S77="",G880=""),0,IF(K880&gt;='Bulk Calculator'!R77,1,0))</f>
        <v>1</v>
      </c>
      <c r="M880">
        <f>IF(AND(H880=1,I880&lt;='OS-DORAEN'!$B$6,J880&lt;='OS-DORAEN'!$B$5,L880=1),1,0)</f>
        <v>1</v>
      </c>
      <c r="N880" t="str">
        <f t="shared" si="13"/>
        <v>R/X</v>
      </c>
    </row>
    <row r="881" spans="1:14" ht="15" customHeight="1" x14ac:dyDescent="0.35">
      <c r="A881">
        <v>77</v>
      </c>
      <c r="B881">
        <v>185</v>
      </c>
      <c r="C881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Master'!$F:$F,B881),"")</f>
        <v>337</v>
      </c>
      <c r="D881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Master'!$F:$F,B881),"")</f>
        <v>0.21099999999999999</v>
      </c>
      <c r="E881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Master'!$F:$F,B881),"")</f>
        <v>0.21099999999999999</v>
      </c>
      <c r="F881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Master'!$F:$F,B881),"")</f>
        <v>7.1999999999999995E-2</v>
      </c>
      <c r="G881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Master'!$F:$F,B881),"")</f>
        <v>143</v>
      </c>
      <c r="H881">
        <f>IF(AND(ISNUMBER(C881),C881&gt;='Bulk Calculator'!U77/('Bulk Calculator'!J77*'Bulk Calculator'!L77)),1,0)</f>
        <v>1</v>
      </c>
      <c r="I881">
        <f>IFERROR(IF(AND(ISNUMBER(E881),ISNUMBER(F881),E881&gt;0,F881&gt;0),SQRT(3)*'Bulk Calculator'!O77*'Bulk Calculator'!AA77*((E881*'Bulk Calculator'!Q77)+(F881*SQRT(1-'Bulk Calculator'!Q77^2)))/'Bulk Calculator'!J77/'Bulk Calculator'!K77*100,D881*'Bulk Calculator'!AA77*'Bulk Calculator'!O77/'Bulk Calculator'!J77/'Bulk Calculator'!K77*100),"")</f>
        <v>0</v>
      </c>
      <c r="J881">
        <f>IFERROR(IF(AND(ISNUMBER(E881),ISNUMBER(F881),E881&gt;0,F881&gt;0),SQRT(3)*'Bulk Calculator'!O77*'Bulk Calculator'!U77*((E881*'Bulk Calculator'!M77)+(F881*SQRT(1-'Bulk Calculator'!M77^2)))/'Bulk Calculator'!J77/'Bulk Calculator'!K77*100,D881*'Bulk Calculator'!U77*'Bulk Calculator'!O77/'Bulk Calculator'!J77/'Bulk Calculator'!K77*100),"")</f>
        <v>0</v>
      </c>
      <c r="K881">
        <f>IFERROR(G881*B881*'Bulk Calculator'!J77/SQRT('Bulk Calculator'!S77)/1000,"")</f>
        <v>59.155178344756941</v>
      </c>
      <c r="L881">
        <f>IF(OR('Bulk Calculator'!R77="",'Bulk Calculator'!S77="",G881=""),0,IF(K881&gt;='Bulk Calculator'!R77,1,0))</f>
        <v>1</v>
      </c>
      <c r="M881">
        <f>IF(AND(H881=1,I881&lt;='OS-DORAEN'!$B$6,J881&lt;='OS-DORAEN'!$B$5,L881=1),1,0)</f>
        <v>1</v>
      </c>
      <c r="N881" t="str">
        <f t="shared" si="13"/>
        <v>R/X</v>
      </c>
    </row>
    <row r="882" spans="1:14" ht="15" customHeight="1" x14ac:dyDescent="0.35">
      <c r="A882">
        <v>77</v>
      </c>
      <c r="B882">
        <v>150</v>
      </c>
      <c r="C882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Master'!$F:$F,B882),"")</f>
        <v>292</v>
      </c>
      <c r="D882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Master'!$F:$F,B882),"")</f>
        <v>0.26500000000000001</v>
      </c>
      <c r="E882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Master'!$F:$F,B882),"")</f>
        <v>0.26500000000000001</v>
      </c>
      <c r="F882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Master'!$F:$F,B882),"")</f>
        <v>7.1999999999999995E-2</v>
      </c>
      <c r="G882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Master'!$F:$F,B882),"")</f>
        <v>143</v>
      </c>
      <c r="H882">
        <f>IF(AND(ISNUMBER(C882),C882&gt;='Bulk Calculator'!U77/('Bulk Calculator'!J77*'Bulk Calculator'!L77)),1,0)</f>
        <v>1</v>
      </c>
      <c r="I882">
        <f>IFERROR(IF(AND(ISNUMBER(E882),ISNUMBER(F882),E882&gt;0,F882&gt;0),SQRT(3)*'Bulk Calculator'!O77*'Bulk Calculator'!AA77*((E882*'Bulk Calculator'!Q77)+(F882*SQRT(1-'Bulk Calculator'!Q77^2)))/'Bulk Calculator'!J77/'Bulk Calculator'!K77*100,D882*'Bulk Calculator'!AA77*'Bulk Calculator'!O77/'Bulk Calculator'!J77/'Bulk Calculator'!K77*100),"")</f>
        <v>0</v>
      </c>
      <c r="J882">
        <f>IFERROR(IF(AND(ISNUMBER(E882),ISNUMBER(F882),E882&gt;0,F882&gt;0),SQRT(3)*'Bulk Calculator'!O77*'Bulk Calculator'!U77*((E882*'Bulk Calculator'!M77)+(F882*SQRT(1-'Bulk Calculator'!M77^2)))/'Bulk Calculator'!J77/'Bulk Calculator'!K77*100,D882*'Bulk Calculator'!U77*'Bulk Calculator'!O77/'Bulk Calculator'!J77/'Bulk Calculator'!K77*100),"")</f>
        <v>0</v>
      </c>
      <c r="K882">
        <f>IFERROR(G882*B882*'Bulk Calculator'!J77/SQRT('Bulk Calculator'!S77)/1000,"")</f>
        <v>47.963658117370493</v>
      </c>
      <c r="L882">
        <f>IF(OR('Bulk Calculator'!R77="",'Bulk Calculator'!S77="",G882=""),0,IF(K882&gt;='Bulk Calculator'!R77,1,0))</f>
        <v>1</v>
      </c>
      <c r="M882">
        <f>IF(AND(H882=1,I882&lt;='OS-DORAEN'!$B$6,J882&lt;='OS-DORAEN'!$B$5,L882=1),1,0)</f>
        <v>1</v>
      </c>
      <c r="N882" t="str">
        <f t="shared" si="13"/>
        <v>R/X</v>
      </c>
    </row>
    <row r="883" spans="1:14" ht="15" customHeight="1" x14ac:dyDescent="0.35">
      <c r="A883">
        <v>77</v>
      </c>
      <c r="B883">
        <v>120</v>
      </c>
      <c r="C883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Master'!$F:$F,B883),"")</f>
        <v>257</v>
      </c>
      <c r="D883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Master'!$F:$F,B883),"")</f>
        <v>0.32500000000000001</v>
      </c>
      <c r="E883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Master'!$F:$F,B883),"")</f>
        <v>0.32500000000000001</v>
      </c>
      <c r="F883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Master'!$F:$F,B883),"")</f>
        <v>7.1999999999999995E-2</v>
      </c>
      <c r="G883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Master'!$F:$F,B883),"")</f>
        <v>143</v>
      </c>
      <c r="H883">
        <f>IF(AND(ISNUMBER(C883),C883&gt;='Bulk Calculator'!U77/('Bulk Calculator'!J77*'Bulk Calculator'!L77)),1,0)</f>
        <v>1</v>
      </c>
      <c r="I883">
        <f>IFERROR(IF(AND(ISNUMBER(E883),ISNUMBER(F883),E883&gt;0,F883&gt;0),SQRT(3)*'Bulk Calculator'!O77*'Bulk Calculator'!AA77*((E883*'Bulk Calculator'!Q77)+(F883*SQRT(1-'Bulk Calculator'!Q77^2)))/'Bulk Calculator'!J77/'Bulk Calculator'!K77*100,D883*'Bulk Calculator'!AA77*'Bulk Calculator'!O77/'Bulk Calculator'!J77/'Bulk Calculator'!K77*100),"")</f>
        <v>0</v>
      </c>
      <c r="J883">
        <f>IFERROR(IF(AND(ISNUMBER(E883),ISNUMBER(F883),E883&gt;0,F883&gt;0),SQRT(3)*'Bulk Calculator'!O77*'Bulk Calculator'!U77*((E883*'Bulk Calculator'!M77)+(F883*SQRT(1-'Bulk Calculator'!M77^2)))/'Bulk Calculator'!J77/'Bulk Calculator'!K77*100,D883*'Bulk Calculator'!U77*'Bulk Calculator'!O77/'Bulk Calculator'!J77/'Bulk Calculator'!K77*100),"")</f>
        <v>0</v>
      </c>
      <c r="K883">
        <f>IFERROR(G883*B883*'Bulk Calculator'!J77/SQRT('Bulk Calculator'!S77)/1000,"")</f>
        <v>38.370926493896391</v>
      </c>
      <c r="L883">
        <f>IF(OR('Bulk Calculator'!R77="",'Bulk Calculator'!S77="",G883=""),0,IF(K883&gt;='Bulk Calculator'!R77,1,0))</f>
        <v>1</v>
      </c>
      <c r="M883">
        <f>IF(AND(H883=1,I883&lt;='OS-DORAEN'!$B$6,J883&lt;='OS-DORAEN'!$B$5,L883=1),1,0)</f>
        <v>1</v>
      </c>
      <c r="N883" t="str">
        <f t="shared" si="13"/>
        <v>R/X</v>
      </c>
    </row>
    <row r="884" spans="1:14" ht="15" customHeight="1" x14ac:dyDescent="0.35">
      <c r="A884">
        <v>77</v>
      </c>
      <c r="B884">
        <v>95</v>
      </c>
      <c r="C884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Master'!$F:$F,B884),"")</f>
        <v>221</v>
      </c>
      <c r="D884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Master'!$F:$F,B884),"")</f>
        <v>0.41</v>
      </c>
      <c r="E884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Master'!$F:$F,B884),"")</f>
        <v>0.41</v>
      </c>
      <c r="F884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Master'!$F:$F,B884),"")</f>
        <v>7.3999999999999996E-2</v>
      </c>
      <c r="G884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Master'!$F:$F,B884),"")</f>
        <v>143</v>
      </c>
      <c r="H884">
        <f>IF(AND(ISNUMBER(C884),C884&gt;='Bulk Calculator'!U77/('Bulk Calculator'!J77*'Bulk Calculator'!L77)),1,0)</f>
        <v>1</v>
      </c>
      <c r="I884">
        <f>IFERROR(IF(AND(ISNUMBER(E884),ISNUMBER(F884),E884&gt;0,F884&gt;0),SQRT(3)*'Bulk Calculator'!O77*'Bulk Calculator'!AA77*((E884*'Bulk Calculator'!Q77)+(F884*SQRT(1-'Bulk Calculator'!Q77^2)))/'Bulk Calculator'!J77/'Bulk Calculator'!K77*100,D884*'Bulk Calculator'!AA77*'Bulk Calculator'!O77/'Bulk Calculator'!J77/'Bulk Calculator'!K77*100),"")</f>
        <v>0</v>
      </c>
      <c r="J884">
        <f>IFERROR(IF(AND(ISNUMBER(E884),ISNUMBER(F884),E884&gt;0,F884&gt;0),SQRT(3)*'Bulk Calculator'!O77*'Bulk Calculator'!U77*((E884*'Bulk Calculator'!M77)+(F884*SQRT(1-'Bulk Calculator'!M77^2)))/'Bulk Calculator'!J77/'Bulk Calculator'!K77*100,D884*'Bulk Calculator'!U77*'Bulk Calculator'!O77/'Bulk Calculator'!J77/'Bulk Calculator'!K77*100),"")</f>
        <v>0</v>
      </c>
      <c r="K884">
        <f>IFERROR(G884*B884*'Bulk Calculator'!J77/SQRT('Bulk Calculator'!S77)/1000,"")</f>
        <v>30.376983474334644</v>
      </c>
      <c r="L884">
        <f>IF(OR('Bulk Calculator'!R77="",'Bulk Calculator'!S77="",G884=""),0,IF(K884&gt;='Bulk Calculator'!R77,1,0))</f>
        <v>1</v>
      </c>
      <c r="M884">
        <f>IF(AND(H884=1,I884&lt;='OS-DORAEN'!$B$6,J884&lt;='OS-DORAEN'!$B$5,L884=1),1,0)</f>
        <v>1</v>
      </c>
      <c r="N884" t="str">
        <f t="shared" si="13"/>
        <v>R/X</v>
      </c>
    </row>
    <row r="885" spans="1:14" ht="15" customHeight="1" x14ac:dyDescent="0.35">
      <c r="A885">
        <v>77</v>
      </c>
      <c r="B885">
        <v>70</v>
      </c>
      <c r="C885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Master'!$F:$F,B885),"")</f>
        <v>179</v>
      </c>
      <c r="D885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Master'!$F:$F,B885),"")</f>
        <v>0.56699999999999995</v>
      </c>
      <c r="E885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Master'!$F:$F,B885),"")</f>
        <v>0.56699999999999995</v>
      </c>
      <c r="F885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Master'!$F:$F,B885),"")</f>
        <v>7.6999999999999999E-2</v>
      </c>
      <c r="G885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Master'!$F:$F,B885),"")</f>
        <v>143</v>
      </c>
      <c r="H885">
        <f>IF(AND(ISNUMBER(C885),C885&gt;='Bulk Calculator'!U77/('Bulk Calculator'!J77*'Bulk Calculator'!L77)),1,0)</f>
        <v>1</v>
      </c>
      <c r="I885">
        <f>IFERROR(IF(AND(ISNUMBER(E885),ISNUMBER(F885),E885&gt;0,F885&gt;0),SQRT(3)*'Bulk Calculator'!O77*'Bulk Calculator'!AA77*((E885*'Bulk Calculator'!Q77)+(F885*SQRT(1-'Bulk Calculator'!Q77^2)))/'Bulk Calculator'!J77/'Bulk Calculator'!K77*100,D885*'Bulk Calculator'!AA77*'Bulk Calculator'!O77/'Bulk Calculator'!J77/'Bulk Calculator'!K77*100),"")</f>
        <v>0</v>
      </c>
      <c r="J885">
        <f>IFERROR(IF(AND(ISNUMBER(E885),ISNUMBER(F885),E885&gt;0,F885&gt;0),SQRT(3)*'Bulk Calculator'!O77*'Bulk Calculator'!U77*((E885*'Bulk Calculator'!M77)+(F885*SQRT(1-'Bulk Calculator'!M77^2)))/'Bulk Calculator'!J77/'Bulk Calculator'!K77*100,D885*'Bulk Calculator'!U77*'Bulk Calculator'!O77/'Bulk Calculator'!J77/'Bulk Calculator'!K77*100),"")</f>
        <v>0</v>
      </c>
      <c r="K885">
        <f>IFERROR(G885*B885*'Bulk Calculator'!J77/SQRT('Bulk Calculator'!S77)/1000,"")</f>
        <v>22.383040454772893</v>
      </c>
      <c r="L885">
        <f>IF(OR('Bulk Calculator'!R77="",'Bulk Calculator'!S77="",G885=""),0,IF(K885&gt;='Bulk Calculator'!R77,1,0))</f>
        <v>1</v>
      </c>
      <c r="M885">
        <f>IF(AND(H885=1,I885&lt;='OS-DORAEN'!$B$6,J885&lt;='OS-DORAEN'!$B$5,L885=1),1,0)</f>
        <v>1</v>
      </c>
      <c r="N885" t="str">
        <f t="shared" si="13"/>
        <v>R/X</v>
      </c>
    </row>
    <row r="886" spans="1:14" ht="15" customHeight="1" x14ac:dyDescent="0.35">
      <c r="A886">
        <v>77</v>
      </c>
      <c r="B886">
        <v>50</v>
      </c>
      <c r="C886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Master'!$F:$F,B886),"")</f>
        <v>142</v>
      </c>
      <c r="D886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Master'!$F:$F,B886),"")</f>
        <v>0.82</v>
      </c>
      <c r="E886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Master'!$F:$F,B886),"")</f>
        <v>0.82</v>
      </c>
      <c r="F886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Master'!$F:$F,B886),"")</f>
        <v>7.8E-2</v>
      </c>
      <c r="G886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Master'!$F:$F,B886),"")</f>
        <v>143</v>
      </c>
      <c r="H886">
        <f>IF(AND(ISNUMBER(C886),C886&gt;='Bulk Calculator'!U77/('Bulk Calculator'!J77*'Bulk Calculator'!L77)),1,0)</f>
        <v>1</v>
      </c>
      <c r="I886">
        <f>IFERROR(IF(AND(ISNUMBER(E886),ISNUMBER(F886),E886&gt;0,F886&gt;0),SQRT(3)*'Bulk Calculator'!O77*'Bulk Calculator'!AA77*((E886*'Bulk Calculator'!Q77)+(F886*SQRT(1-'Bulk Calculator'!Q77^2)))/'Bulk Calculator'!J77/'Bulk Calculator'!K77*100,D886*'Bulk Calculator'!AA77*'Bulk Calculator'!O77/'Bulk Calculator'!J77/'Bulk Calculator'!K77*100),"")</f>
        <v>0</v>
      </c>
      <c r="J886">
        <f>IFERROR(IF(AND(ISNUMBER(E886),ISNUMBER(F886),E886&gt;0,F886&gt;0),SQRT(3)*'Bulk Calculator'!O77*'Bulk Calculator'!U77*((E886*'Bulk Calculator'!M77)+(F886*SQRT(1-'Bulk Calculator'!M77^2)))/'Bulk Calculator'!J77/'Bulk Calculator'!K77*100,D886*'Bulk Calculator'!U77*'Bulk Calculator'!O77/'Bulk Calculator'!J77/'Bulk Calculator'!K77*100),"")</f>
        <v>0</v>
      </c>
      <c r="K886">
        <f>IFERROR(G886*B886*'Bulk Calculator'!J77/SQRT('Bulk Calculator'!S77)/1000,"")</f>
        <v>15.987886039123497</v>
      </c>
      <c r="L886">
        <f>IF(OR('Bulk Calculator'!R77="",'Bulk Calculator'!S77="",G886=""),0,IF(K886&gt;='Bulk Calculator'!R77,1,0))</f>
        <v>1</v>
      </c>
      <c r="M886">
        <f>IF(AND(H886=1,I886&lt;='OS-DORAEN'!$B$6,J886&lt;='OS-DORAEN'!$B$5,L886=1),1,0)</f>
        <v>1</v>
      </c>
      <c r="N886" t="str">
        <f t="shared" si="13"/>
        <v>R/X</v>
      </c>
    </row>
    <row r="887" spans="1:14" ht="15" customHeight="1" x14ac:dyDescent="0.35">
      <c r="A887">
        <v>77</v>
      </c>
      <c r="B887">
        <v>35</v>
      </c>
      <c r="C887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Master'!$F:$F,B887),"")</f>
        <v>117</v>
      </c>
      <c r="D887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Master'!$F:$F,B887),"")</f>
        <v>1.1100000000000001</v>
      </c>
      <c r="E887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Master'!$F:$F,B887),"")</f>
        <v>1.1100000000000001</v>
      </c>
      <c r="F887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Master'!$F:$F,B887),"")</f>
        <v>0.08</v>
      </c>
      <c r="G887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Master'!$F:$F,B887),"")</f>
        <v>143</v>
      </c>
      <c r="H887">
        <f>IF(AND(ISNUMBER(C887),C887&gt;='Bulk Calculator'!U77/('Bulk Calculator'!J77*'Bulk Calculator'!L77)),1,0)</f>
        <v>1</v>
      </c>
      <c r="I887">
        <f>IFERROR(IF(AND(ISNUMBER(E887),ISNUMBER(F887),E887&gt;0,F887&gt;0),SQRT(3)*'Bulk Calculator'!O77*'Bulk Calculator'!AA77*((E887*'Bulk Calculator'!Q77)+(F887*SQRT(1-'Bulk Calculator'!Q77^2)))/'Bulk Calculator'!J77/'Bulk Calculator'!K77*100,D887*'Bulk Calculator'!AA77*'Bulk Calculator'!O77/'Bulk Calculator'!J77/'Bulk Calculator'!K77*100),"")</f>
        <v>0</v>
      </c>
      <c r="J887">
        <f>IFERROR(IF(AND(ISNUMBER(E887),ISNUMBER(F887),E887&gt;0,F887&gt;0),SQRT(3)*'Bulk Calculator'!O77*'Bulk Calculator'!U77*((E887*'Bulk Calculator'!M77)+(F887*SQRT(1-'Bulk Calculator'!M77^2)))/'Bulk Calculator'!J77/'Bulk Calculator'!K77*100,D887*'Bulk Calculator'!U77*'Bulk Calculator'!O77/'Bulk Calculator'!J77/'Bulk Calculator'!K77*100),"")</f>
        <v>0</v>
      </c>
      <c r="K887">
        <f>IFERROR(G887*B887*'Bulk Calculator'!J77/SQRT('Bulk Calculator'!S77)/1000,"")</f>
        <v>11.191520227386446</v>
      </c>
      <c r="L887">
        <f>IF(OR('Bulk Calculator'!R77="",'Bulk Calculator'!S77="",G887=""),0,IF(K887&gt;='Bulk Calculator'!R77,1,0))</f>
        <v>1</v>
      </c>
      <c r="M887">
        <f>IF(AND(H887=1,I887&lt;='OS-DORAEN'!$B$6,J887&lt;='OS-DORAEN'!$B$5,L887=1),1,0)</f>
        <v>1</v>
      </c>
      <c r="N887" t="str">
        <f t="shared" si="13"/>
        <v>R/X</v>
      </c>
    </row>
    <row r="888" spans="1:14" ht="15" customHeight="1" x14ac:dyDescent="0.35">
      <c r="A888">
        <v>77</v>
      </c>
      <c r="B888">
        <v>25</v>
      </c>
      <c r="C888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Master'!$F:$F,B888),"")</f>
        <v>96</v>
      </c>
      <c r="D888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Master'!$F:$F,B888),"")</f>
        <v>1.54</v>
      </c>
      <c r="E888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Master'!$F:$F,B888),"")</f>
        <v>1.54</v>
      </c>
      <c r="F888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Master'!$F:$F,B888),"")</f>
        <v>0.08</v>
      </c>
      <c r="G888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Master'!$F:$F,B888),"")</f>
        <v>143</v>
      </c>
      <c r="H888">
        <f>IF(AND(ISNUMBER(C888),C888&gt;='Bulk Calculator'!U77/('Bulk Calculator'!J77*'Bulk Calculator'!L77)),1,0)</f>
        <v>1</v>
      </c>
      <c r="I888">
        <f>IFERROR(IF(AND(ISNUMBER(E888),ISNUMBER(F888),E888&gt;0,F888&gt;0),SQRT(3)*'Bulk Calculator'!O77*'Bulk Calculator'!AA77*((E888*'Bulk Calculator'!Q77)+(F888*SQRT(1-'Bulk Calculator'!Q77^2)))/'Bulk Calculator'!J77/'Bulk Calculator'!K77*100,D888*'Bulk Calculator'!AA77*'Bulk Calculator'!O77/'Bulk Calculator'!J77/'Bulk Calculator'!K77*100),"")</f>
        <v>0</v>
      </c>
      <c r="J888">
        <f>IFERROR(IF(AND(ISNUMBER(E888),ISNUMBER(F888),E888&gt;0,F888&gt;0),SQRT(3)*'Bulk Calculator'!O77*'Bulk Calculator'!U77*((E888*'Bulk Calculator'!M77)+(F888*SQRT(1-'Bulk Calculator'!M77^2)))/'Bulk Calculator'!J77/'Bulk Calculator'!K77*100,D888*'Bulk Calculator'!U77*'Bulk Calculator'!O77/'Bulk Calculator'!J77/'Bulk Calculator'!K77*100),"")</f>
        <v>0</v>
      </c>
      <c r="K888">
        <f>IFERROR(G888*B888*'Bulk Calculator'!J77/SQRT('Bulk Calculator'!S77)/1000,"")</f>
        <v>7.9939430195617485</v>
      </c>
      <c r="L888">
        <f>IF(OR('Bulk Calculator'!R77="",'Bulk Calculator'!S77="",G888=""),0,IF(K888&gt;='Bulk Calculator'!R77,1,0))</f>
        <v>1</v>
      </c>
      <c r="M888">
        <f>IF(AND(H888=1,I888&lt;='OS-DORAEN'!$B$6,J888&lt;='OS-DORAEN'!$B$5,L888=1),1,0)</f>
        <v>1</v>
      </c>
      <c r="N888" t="str">
        <f t="shared" si="13"/>
        <v>R/X</v>
      </c>
    </row>
    <row r="889" spans="1:14" ht="15" customHeight="1" x14ac:dyDescent="0.35">
      <c r="A889">
        <v>77</v>
      </c>
      <c r="B889">
        <v>16</v>
      </c>
      <c r="C889">
        <f>IFERROR(SUMIFS('Cable Data Master'!$G:$G,'Cable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Master'!$F:$F,B889),"")</f>
        <v>0</v>
      </c>
      <c r="D889">
        <f>IFERROR(SUMIFS('Cable Data Master'!$K:$K,'Cable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Master'!$F:$F,B889),"")</f>
        <v>0</v>
      </c>
      <c r="E889">
        <f>IFERROR(SUMIFS('Cable Data Master'!$H:$H,'Cable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Master'!$F:$F,B889),"")</f>
        <v>0</v>
      </c>
      <c r="F889">
        <f>IFERROR(SUMIFS('Cable Data Master'!$I:$I,'Cable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Master'!$F:$F,B889),"")</f>
        <v>0</v>
      </c>
      <c r="G889">
        <f>IFERROR(SUMIFS('Cable Data Master'!$J:$J,'Cable Data Master'!$A:$A,'Bulk Calculator'!$BF77,'Cable Data Master'!$B:$B,'Bulk Calculator'!$BG77,'Cable Data Master'!$C:$C,'Bulk Calculator'!$BH77,'Cable Data Master'!$D:$D,'Bulk Calculator'!$BI77,'Cable Data Master'!$E:$E,'Bulk Calculator'!$BJ77,'Cable Data Master'!$F:$F,B889),"")</f>
        <v>0</v>
      </c>
      <c r="H889">
        <f>IF(AND(ISNUMBER(C889),C889&gt;='Bulk Calculator'!U77/('Bulk Calculator'!J77*'Bulk Calculator'!L77)),1,0)</f>
        <v>1</v>
      </c>
      <c r="I889">
        <f>IFERROR(IF(AND(ISNUMBER(E889),ISNUMBER(F889),E889&gt;0,F889&gt;0),SQRT(3)*'Bulk Calculator'!O77*'Bulk Calculator'!AA77*((E889*'Bulk Calculator'!Q77)+(F889*SQRT(1-'Bulk Calculator'!Q77^2)))/'Bulk Calculator'!J77/'Bulk Calculator'!K77*100,D889*'Bulk Calculator'!AA77*'Bulk Calculator'!O77/'Bulk Calculator'!J77/'Bulk Calculator'!K77*100),"")</f>
        <v>0</v>
      </c>
      <c r="J889">
        <f>IFERROR(IF(AND(ISNUMBER(E889),ISNUMBER(F889),E889&gt;0,F889&gt;0),SQRT(3)*'Bulk Calculator'!O77*'Bulk Calculator'!U77*((E889*'Bulk Calculator'!M77)+(F889*SQRT(1-'Bulk Calculator'!M77^2)))/'Bulk Calculator'!J77/'Bulk Calculator'!K77*100,D889*'Bulk Calculator'!U77*'Bulk Calculator'!O77/'Bulk Calculator'!J77/'Bulk Calculator'!K77*100),"")</f>
        <v>0</v>
      </c>
      <c r="K889">
        <f>IFERROR(G889*B889*'Bulk Calculator'!J77/SQRT('Bulk Calculator'!S77)/1000,"")</f>
        <v>0</v>
      </c>
      <c r="L889">
        <f>IF(OR('Bulk Calculator'!R77="",'Bulk Calculator'!S77="",G889=""),0,IF(K889&gt;='Bulk Calculator'!R77,1,0))</f>
        <v>1</v>
      </c>
      <c r="M889">
        <f>IF(AND(H889=1,I889&lt;='OS-DORAEN'!$B$6,J889&lt;='OS-DORAEN'!$B$5,L889=1),1,0)</f>
        <v>1</v>
      </c>
      <c r="N889" t="str">
        <f t="shared" si="13"/>
        <v>Manufacturer VD Ref</v>
      </c>
    </row>
    <row r="890" spans="1:14" ht="15" customHeight="1" x14ac:dyDescent="0.35">
      <c r="A890">
        <v>78</v>
      </c>
      <c r="B890">
        <v>400</v>
      </c>
      <c r="C890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Master'!$F:$F,B890),"")</f>
        <v>530</v>
      </c>
      <c r="D890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Master'!$F:$F,B890),"")</f>
        <v>0.1023</v>
      </c>
      <c r="E890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Master'!$F:$F,B890),"")</f>
        <v>0.1023</v>
      </c>
      <c r="F890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Master'!$F:$F,B890),"")</f>
        <v>7.0000000000000007E-2</v>
      </c>
      <c r="G890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Master'!$F:$F,B890),"")</f>
        <v>143</v>
      </c>
      <c r="H890">
        <f>IF(AND(ISNUMBER(C890),C890&gt;='Bulk Calculator'!U78/('Bulk Calculator'!J78*'Bulk Calculator'!L78)),1,0)</f>
        <v>1</v>
      </c>
      <c r="I890">
        <f>IFERROR(IF(AND(ISNUMBER(E890),ISNUMBER(F890),E890&gt;0,F890&gt;0),SQRT(3)*'Bulk Calculator'!O78*'Bulk Calculator'!AA78*((E890*'Bulk Calculator'!Q78)+(F890*SQRT(1-'Bulk Calculator'!Q78^2)))/'Bulk Calculator'!J78/'Bulk Calculator'!K78*100,D890*'Bulk Calculator'!AA78*'Bulk Calculator'!O78/'Bulk Calculator'!J78/'Bulk Calculator'!K78*100),"")</f>
        <v>0</v>
      </c>
      <c r="J890">
        <f>IFERROR(IF(AND(ISNUMBER(E890),ISNUMBER(F890),E890&gt;0,F890&gt;0),SQRT(3)*'Bulk Calculator'!O78*'Bulk Calculator'!U78*((E890*'Bulk Calculator'!M78)+(F890*SQRT(1-'Bulk Calculator'!M78^2)))/'Bulk Calculator'!J78/'Bulk Calculator'!K78*100,D890*'Bulk Calculator'!U78*'Bulk Calculator'!O78/'Bulk Calculator'!J78/'Bulk Calculator'!K78*100),"")</f>
        <v>0</v>
      </c>
      <c r="K890">
        <f>IFERROR(G890*B890*'Bulk Calculator'!J78/SQRT('Bulk Calculator'!S78)/1000,"")</f>
        <v>127.90308831298798</v>
      </c>
      <c r="L890">
        <f>IF(OR('Bulk Calculator'!R78="",'Bulk Calculator'!S78="",G890=""),0,IF(K890&gt;='Bulk Calculator'!R78,1,0))</f>
        <v>1</v>
      </c>
      <c r="M890">
        <f>IF(AND(H890=1,I890&lt;='OS-DORAEN'!$B$6,J890&lt;='OS-DORAEN'!$B$5,L890=1),1,0)</f>
        <v>1</v>
      </c>
      <c r="N890" t="str">
        <f t="shared" si="13"/>
        <v>R/X</v>
      </c>
    </row>
    <row r="891" spans="1:14" ht="15" customHeight="1" x14ac:dyDescent="0.35">
      <c r="A891">
        <v>78</v>
      </c>
      <c r="B891">
        <v>300</v>
      </c>
      <c r="C891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Master'!$F:$F,B891),"")</f>
        <v>455</v>
      </c>
      <c r="D891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Master'!$F:$F,B891),"")</f>
        <v>0.13</v>
      </c>
      <c r="E891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Master'!$F:$F,B891),"")</f>
        <v>0.13</v>
      </c>
      <c r="F891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Master'!$F:$F,B891),"")</f>
        <v>7.0999999999999994E-2</v>
      </c>
      <c r="G891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Master'!$F:$F,B891),"")</f>
        <v>143</v>
      </c>
      <c r="H891">
        <f>IF(AND(ISNUMBER(C891),C891&gt;='Bulk Calculator'!U78/('Bulk Calculator'!J78*'Bulk Calculator'!L78)),1,0)</f>
        <v>1</v>
      </c>
      <c r="I891">
        <f>IFERROR(IF(AND(ISNUMBER(E891),ISNUMBER(F891),E891&gt;0,F891&gt;0),SQRT(3)*'Bulk Calculator'!O78*'Bulk Calculator'!AA78*((E891*'Bulk Calculator'!Q78)+(F891*SQRT(1-'Bulk Calculator'!Q78^2)))/'Bulk Calculator'!J78/'Bulk Calculator'!K78*100,D891*'Bulk Calculator'!AA78*'Bulk Calculator'!O78/'Bulk Calculator'!J78/'Bulk Calculator'!K78*100),"")</f>
        <v>0</v>
      </c>
      <c r="J891">
        <f>IFERROR(IF(AND(ISNUMBER(E891),ISNUMBER(F891),E891&gt;0,F891&gt;0),SQRT(3)*'Bulk Calculator'!O78*'Bulk Calculator'!U78*((E891*'Bulk Calculator'!M78)+(F891*SQRT(1-'Bulk Calculator'!M78^2)))/'Bulk Calculator'!J78/'Bulk Calculator'!K78*100,D891*'Bulk Calculator'!U78*'Bulk Calculator'!O78/'Bulk Calculator'!J78/'Bulk Calculator'!K78*100),"")</f>
        <v>0</v>
      </c>
      <c r="K891">
        <f>IFERROR(G891*B891*'Bulk Calculator'!J78/SQRT('Bulk Calculator'!S78)/1000,"")</f>
        <v>95.927316234740985</v>
      </c>
      <c r="L891">
        <f>IF(OR('Bulk Calculator'!R78="",'Bulk Calculator'!S78="",G891=""),0,IF(K891&gt;='Bulk Calculator'!R78,1,0))</f>
        <v>1</v>
      </c>
      <c r="M891">
        <f>IF(AND(H891=1,I891&lt;='OS-DORAEN'!$B$6,J891&lt;='OS-DORAEN'!$B$5,L891=1),1,0)</f>
        <v>1</v>
      </c>
      <c r="N891" t="str">
        <f t="shared" si="13"/>
        <v>R/X</v>
      </c>
    </row>
    <row r="892" spans="1:14" ht="15" customHeight="1" x14ac:dyDescent="0.35">
      <c r="A892">
        <v>78</v>
      </c>
      <c r="B892">
        <v>240</v>
      </c>
      <c r="C892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Master'!$F:$F,B892),"")</f>
        <v>399</v>
      </c>
      <c r="D892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Master'!$F:$F,B892),"")</f>
        <v>0.16200000000000001</v>
      </c>
      <c r="E892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Master'!$F:$F,B892),"")</f>
        <v>0.16200000000000001</v>
      </c>
      <c r="F892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Master'!$F:$F,B892),"")</f>
        <v>7.1999999999999995E-2</v>
      </c>
      <c r="G892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Master'!$F:$F,B892),"")</f>
        <v>143</v>
      </c>
      <c r="H892">
        <f>IF(AND(ISNUMBER(C892),C892&gt;='Bulk Calculator'!U78/('Bulk Calculator'!J78*'Bulk Calculator'!L78)),1,0)</f>
        <v>1</v>
      </c>
      <c r="I892">
        <f>IFERROR(IF(AND(ISNUMBER(E892),ISNUMBER(F892),E892&gt;0,F892&gt;0),SQRT(3)*'Bulk Calculator'!O78*'Bulk Calculator'!AA78*((E892*'Bulk Calculator'!Q78)+(F892*SQRT(1-'Bulk Calculator'!Q78^2)))/'Bulk Calculator'!J78/'Bulk Calculator'!K78*100,D892*'Bulk Calculator'!AA78*'Bulk Calculator'!O78/'Bulk Calculator'!J78/'Bulk Calculator'!K78*100),"")</f>
        <v>0</v>
      </c>
      <c r="J892">
        <f>IFERROR(IF(AND(ISNUMBER(E892),ISNUMBER(F892),E892&gt;0,F892&gt;0),SQRT(3)*'Bulk Calculator'!O78*'Bulk Calculator'!U78*((E892*'Bulk Calculator'!M78)+(F892*SQRT(1-'Bulk Calculator'!M78^2)))/'Bulk Calculator'!J78/'Bulk Calculator'!K78*100,D892*'Bulk Calculator'!U78*'Bulk Calculator'!O78/'Bulk Calculator'!J78/'Bulk Calculator'!K78*100),"")</f>
        <v>0</v>
      </c>
      <c r="K892">
        <f>IFERROR(G892*B892*'Bulk Calculator'!J78/SQRT('Bulk Calculator'!S78)/1000,"")</f>
        <v>76.741852987792782</v>
      </c>
      <c r="L892">
        <f>IF(OR('Bulk Calculator'!R78="",'Bulk Calculator'!S78="",G892=""),0,IF(K892&gt;='Bulk Calculator'!R78,1,0))</f>
        <v>1</v>
      </c>
      <c r="M892">
        <f>IF(AND(H892=1,I892&lt;='OS-DORAEN'!$B$6,J892&lt;='OS-DORAEN'!$B$5,L892=1),1,0)</f>
        <v>1</v>
      </c>
      <c r="N892" t="str">
        <f t="shared" si="13"/>
        <v>R/X</v>
      </c>
    </row>
    <row r="893" spans="1:14" ht="15" customHeight="1" x14ac:dyDescent="0.35">
      <c r="A893">
        <v>78</v>
      </c>
      <c r="B893">
        <v>185</v>
      </c>
      <c r="C893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Master'!$F:$F,B893),"")</f>
        <v>337</v>
      </c>
      <c r="D893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Master'!$F:$F,B893),"")</f>
        <v>0.21099999999999999</v>
      </c>
      <c r="E893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Master'!$F:$F,B893),"")</f>
        <v>0.21099999999999999</v>
      </c>
      <c r="F893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Master'!$F:$F,B893),"")</f>
        <v>7.1999999999999995E-2</v>
      </c>
      <c r="G893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Master'!$F:$F,B893),"")</f>
        <v>143</v>
      </c>
      <c r="H893">
        <f>IF(AND(ISNUMBER(C893),C893&gt;='Bulk Calculator'!U78/('Bulk Calculator'!J78*'Bulk Calculator'!L78)),1,0)</f>
        <v>1</v>
      </c>
      <c r="I893">
        <f>IFERROR(IF(AND(ISNUMBER(E893),ISNUMBER(F893),E893&gt;0,F893&gt;0),SQRT(3)*'Bulk Calculator'!O78*'Bulk Calculator'!AA78*((E893*'Bulk Calculator'!Q78)+(F893*SQRT(1-'Bulk Calculator'!Q78^2)))/'Bulk Calculator'!J78/'Bulk Calculator'!K78*100,D893*'Bulk Calculator'!AA78*'Bulk Calculator'!O78/'Bulk Calculator'!J78/'Bulk Calculator'!K78*100),"")</f>
        <v>0</v>
      </c>
      <c r="J893">
        <f>IFERROR(IF(AND(ISNUMBER(E893),ISNUMBER(F893),E893&gt;0,F893&gt;0),SQRT(3)*'Bulk Calculator'!O78*'Bulk Calculator'!U78*((E893*'Bulk Calculator'!M78)+(F893*SQRT(1-'Bulk Calculator'!M78^2)))/'Bulk Calculator'!J78/'Bulk Calculator'!K78*100,D893*'Bulk Calculator'!U78*'Bulk Calculator'!O78/'Bulk Calculator'!J78/'Bulk Calculator'!K78*100),"")</f>
        <v>0</v>
      </c>
      <c r="K893">
        <f>IFERROR(G893*B893*'Bulk Calculator'!J78/SQRT('Bulk Calculator'!S78)/1000,"")</f>
        <v>59.155178344756941</v>
      </c>
      <c r="L893">
        <f>IF(OR('Bulk Calculator'!R78="",'Bulk Calculator'!S78="",G893=""),0,IF(K893&gt;='Bulk Calculator'!R78,1,0))</f>
        <v>1</v>
      </c>
      <c r="M893">
        <f>IF(AND(H893=1,I893&lt;='OS-DORAEN'!$B$6,J893&lt;='OS-DORAEN'!$B$5,L893=1),1,0)</f>
        <v>1</v>
      </c>
      <c r="N893" t="str">
        <f t="shared" si="13"/>
        <v>R/X</v>
      </c>
    </row>
    <row r="894" spans="1:14" ht="15" customHeight="1" x14ac:dyDescent="0.35">
      <c r="A894">
        <v>78</v>
      </c>
      <c r="B894">
        <v>150</v>
      </c>
      <c r="C894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Master'!$F:$F,B894),"")</f>
        <v>292</v>
      </c>
      <c r="D894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Master'!$F:$F,B894),"")</f>
        <v>0.26500000000000001</v>
      </c>
      <c r="E894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Master'!$F:$F,B894),"")</f>
        <v>0.26500000000000001</v>
      </c>
      <c r="F894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Master'!$F:$F,B894),"")</f>
        <v>7.1999999999999995E-2</v>
      </c>
      <c r="G894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Master'!$F:$F,B894),"")</f>
        <v>143</v>
      </c>
      <c r="H894">
        <f>IF(AND(ISNUMBER(C894),C894&gt;='Bulk Calculator'!U78/('Bulk Calculator'!J78*'Bulk Calculator'!L78)),1,0)</f>
        <v>1</v>
      </c>
      <c r="I894">
        <f>IFERROR(IF(AND(ISNUMBER(E894),ISNUMBER(F894),E894&gt;0,F894&gt;0),SQRT(3)*'Bulk Calculator'!O78*'Bulk Calculator'!AA78*((E894*'Bulk Calculator'!Q78)+(F894*SQRT(1-'Bulk Calculator'!Q78^2)))/'Bulk Calculator'!J78/'Bulk Calculator'!K78*100,D894*'Bulk Calculator'!AA78*'Bulk Calculator'!O78/'Bulk Calculator'!J78/'Bulk Calculator'!K78*100),"")</f>
        <v>0</v>
      </c>
      <c r="J894">
        <f>IFERROR(IF(AND(ISNUMBER(E894),ISNUMBER(F894),E894&gt;0,F894&gt;0),SQRT(3)*'Bulk Calculator'!O78*'Bulk Calculator'!U78*((E894*'Bulk Calculator'!M78)+(F894*SQRT(1-'Bulk Calculator'!M78^2)))/'Bulk Calculator'!J78/'Bulk Calculator'!K78*100,D894*'Bulk Calculator'!U78*'Bulk Calculator'!O78/'Bulk Calculator'!J78/'Bulk Calculator'!K78*100),"")</f>
        <v>0</v>
      </c>
      <c r="K894">
        <f>IFERROR(G894*B894*'Bulk Calculator'!J78/SQRT('Bulk Calculator'!S78)/1000,"")</f>
        <v>47.963658117370493</v>
      </c>
      <c r="L894">
        <f>IF(OR('Bulk Calculator'!R78="",'Bulk Calculator'!S78="",G894=""),0,IF(K894&gt;='Bulk Calculator'!R78,1,0))</f>
        <v>1</v>
      </c>
      <c r="M894">
        <f>IF(AND(H894=1,I894&lt;='OS-DORAEN'!$B$6,J894&lt;='OS-DORAEN'!$B$5,L894=1),1,0)</f>
        <v>1</v>
      </c>
      <c r="N894" t="str">
        <f t="shared" si="13"/>
        <v>R/X</v>
      </c>
    </row>
    <row r="895" spans="1:14" ht="15" customHeight="1" x14ac:dyDescent="0.35">
      <c r="A895">
        <v>78</v>
      </c>
      <c r="B895">
        <v>120</v>
      </c>
      <c r="C895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Master'!$F:$F,B895),"")</f>
        <v>257</v>
      </c>
      <c r="D895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Master'!$F:$F,B895),"")</f>
        <v>0.32500000000000001</v>
      </c>
      <c r="E895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Master'!$F:$F,B895),"")</f>
        <v>0.32500000000000001</v>
      </c>
      <c r="F895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Master'!$F:$F,B895),"")</f>
        <v>7.1999999999999995E-2</v>
      </c>
      <c r="G895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Master'!$F:$F,B895),"")</f>
        <v>143</v>
      </c>
      <c r="H895">
        <f>IF(AND(ISNUMBER(C895),C895&gt;='Bulk Calculator'!U78/('Bulk Calculator'!J78*'Bulk Calculator'!L78)),1,0)</f>
        <v>1</v>
      </c>
      <c r="I895">
        <f>IFERROR(IF(AND(ISNUMBER(E895),ISNUMBER(F895),E895&gt;0,F895&gt;0),SQRT(3)*'Bulk Calculator'!O78*'Bulk Calculator'!AA78*((E895*'Bulk Calculator'!Q78)+(F895*SQRT(1-'Bulk Calculator'!Q78^2)))/'Bulk Calculator'!J78/'Bulk Calculator'!K78*100,D895*'Bulk Calculator'!AA78*'Bulk Calculator'!O78/'Bulk Calculator'!J78/'Bulk Calculator'!K78*100),"")</f>
        <v>0</v>
      </c>
      <c r="J895">
        <f>IFERROR(IF(AND(ISNUMBER(E895),ISNUMBER(F895),E895&gt;0,F895&gt;0),SQRT(3)*'Bulk Calculator'!O78*'Bulk Calculator'!U78*((E895*'Bulk Calculator'!M78)+(F895*SQRT(1-'Bulk Calculator'!M78^2)))/'Bulk Calculator'!J78/'Bulk Calculator'!K78*100,D895*'Bulk Calculator'!U78*'Bulk Calculator'!O78/'Bulk Calculator'!J78/'Bulk Calculator'!K78*100),"")</f>
        <v>0</v>
      </c>
      <c r="K895">
        <f>IFERROR(G895*B895*'Bulk Calculator'!J78/SQRT('Bulk Calculator'!S78)/1000,"")</f>
        <v>38.370926493896391</v>
      </c>
      <c r="L895">
        <f>IF(OR('Bulk Calculator'!R78="",'Bulk Calculator'!S78="",G895=""),0,IF(K895&gt;='Bulk Calculator'!R78,1,0))</f>
        <v>1</v>
      </c>
      <c r="M895">
        <f>IF(AND(H895=1,I895&lt;='OS-DORAEN'!$B$6,J895&lt;='OS-DORAEN'!$B$5,L895=1),1,0)</f>
        <v>1</v>
      </c>
      <c r="N895" t="str">
        <f t="shared" si="13"/>
        <v>R/X</v>
      </c>
    </row>
    <row r="896" spans="1:14" ht="15" customHeight="1" x14ac:dyDescent="0.35">
      <c r="A896">
        <v>78</v>
      </c>
      <c r="B896">
        <v>95</v>
      </c>
      <c r="C896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Master'!$F:$F,B896),"")</f>
        <v>221</v>
      </c>
      <c r="D896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Master'!$F:$F,B896),"")</f>
        <v>0.41</v>
      </c>
      <c r="E896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Master'!$F:$F,B896),"")</f>
        <v>0.41</v>
      </c>
      <c r="F896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Master'!$F:$F,B896),"")</f>
        <v>7.3999999999999996E-2</v>
      </c>
      <c r="G896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Master'!$F:$F,B896),"")</f>
        <v>143</v>
      </c>
      <c r="H896">
        <f>IF(AND(ISNUMBER(C896),C896&gt;='Bulk Calculator'!U78/('Bulk Calculator'!J78*'Bulk Calculator'!L78)),1,0)</f>
        <v>1</v>
      </c>
      <c r="I896">
        <f>IFERROR(IF(AND(ISNUMBER(E896),ISNUMBER(F896),E896&gt;0,F896&gt;0),SQRT(3)*'Bulk Calculator'!O78*'Bulk Calculator'!AA78*((E896*'Bulk Calculator'!Q78)+(F896*SQRT(1-'Bulk Calculator'!Q78^2)))/'Bulk Calculator'!J78/'Bulk Calculator'!K78*100,D896*'Bulk Calculator'!AA78*'Bulk Calculator'!O78/'Bulk Calculator'!J78/'Bulk Calculator'!K78*100),"")</f>
        <v>0</v>
      </c>
      <c r="J896">
        <f>IFERROR(IF(AND(ISNUMBER(E896),ISNUMBER(F896),E896&gt;0,F896&gt;0),SQRT(3)*'Bulk Calculator'!O78*'Bulk Calculator'!U78*((E896*'Bulk Calculator'!M78)+(F896*SQRT(1-'Bulk Calculator'!M78^2)))/'Bulk Calculator'!J78/'Bulk Calculator'!K78*100,D896*'Bulk Calculator'!U78*'Bulk Calculator'!O78/'Bulk Calculator'!J78/'Bulk Calculator'!K78*100),"")</f>
        <v>0</v>
      </c>
      <c r="K896">
        <f>IFERROR(G896*B896*'Bulk Calculator'!J78/SQRT('Bulk Calculator'!S78)/1000,"")</f>
        <v>30.376983474334644</v>
      </c>
      <c r="L896">
        <f>IF(OR('Bulk Calculator'!R78="",'Bulk Calculator'!S78="",G896=""),0,IF(K896&gt;='Bulk Calculator'!R78,1,0))</f>
        <v>1</v>
      </c>
      <c r="M896">
        <f>IF(AND(H896=1,I896&lt;='OS-DORAEN'!$B$6,J896&lt;='OS-DORAEN'!$B$5,L896=1),1,0)</f>
        <v>1</v>
      </c>
      <c r="N896" t="str">
        <f t="shared" si="13"/>
        <v>R/X</v>
      </c>
    </row>
    <row r="897" spans="1:14" ht="15" customHeight="1" x14ac:dyDescent="0.35">
      <c r="A897">
        <v>78</v>
      </c>
      <c r="B897">
        <v>70</v>
      </c>
      <c r="C897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Master'!$F:$F,B897),"")</f>
        <v>179</v>
      </c>
      <c r="D897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Master'!$F:$F,B897),"")</f>
        <v>0.56699999999999995</v>
      </c>
      <c r="E897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Master'!$F:$F,B897),"")</f>
        <v>0.56699999999999995</v>
      </c>
      <c r="F897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Master'!$F:$F,B897),"")</f>
        <v>7.6999999999999999E-2</v>
      </c>
      <c r="G897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Master'!$F:$F,B897),"")</f>
        <v>143</v>
      </c>
      <c r="H897">
        <f>IF(AND(ISNUMBER(C897),C897&gt;='Bulk Calculator'!U78/('Bulk Calculator'!J78*'Bulk Calculator'!L78)),1,0)</f>
        <v>1</v>
      </c>
      <c r="I897">
        <f>IFERROR(IF(AND(ISNUMBER(E897),ISNUMBER(F897),E897&gt;0,F897&gt;0),SQRT(3)*'Bulk Calculator'!O78*'Bulk Calculator'!AA78*((E897*'Bulk Calculator'!Q78)+(F897*SQRT(1-'Bulk Calculator'!Q78^2)))/'Bulk Calculator'!J78/'Bulk Calculator'!K78*100,D897*'Bulk Calculator'!AA78*'Bulk Calculator'!O78/'Bulk Calculator'!J78/'Bulk Calculator'!K78*100),"")</f>
        <v>0</v>
      </c>
      <c r="J897">
        <f>IFERROR(IF(AND(ISNUMBER(E897),ISNUMBER(F897),E897&gt;0,F897&gt;0),SQRT(3)*'Bulk Calculator'!O78*'Bulk Calculator'!U78*((E897*'Bulk Calculator'!M78)+(F897*SQRT(1-'Bulk Calculator'!M78^2)))/'Bulk Calculator'!J78/'Bulk Calculator'!K78*100,D897*'Bulk Calculator'!U78*'Bulk Calculator'!O78/'Bulk Calculator'!J78/'Bulk Calculator'!K78*100),"")</f>
        <v>0</v>
      </c>
      <c r="K897">
        <f>IFERROR(G897*B897*'Bulk Calculator'!J78/SQRT('Bulk Calculator'!S78)/1000,"")</f>
        <v>22.383040454772893</v>
      </c>
      <c r="L897">
        <f>IF(OR('Bulk Calculator'!R78="",'Bulk Calculator'!S78="",G897=""),0,IF(K897&gt;='Bulk Calculator'!R78,1,0))</f>
        <v>1</v>
      </c>
      <c r="M897">
        <f>IF(AND(H897=1,I897&lt;='OS-DORAEN'!$B$6,J897&lt;='OS-DORAEN'!$B$5,L897=1),1,0)</f>
        <v>1</v>
      </c>
      <c r="N897" t="str">
        <f t="shared" si="13"/>
        <v>R/X</v>
      </c>
    </row>
    <row r="898" spans="1:14" ht="15" customHeight="1" x14ac:dyDescent="0.35">
      <c r="A898">
        <v>78</v>
      </c>
      <c r="B898">
        <v>50</v>
      </c>
      <c r="C898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Master'!$F:$F,B898),"")</f>
        <v>142</v>
      </c>
      <c r="D898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Master'!$F:$F,B898),"")</f>
        <v>0.82</v>
      </c>
      <c r="E898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Master'!$F:$F,B898),"")</f>
        <v>0.82</v>
      </c>
      <c r="F898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Master'!$F:$F,B898),"")</f>
        <v>7.8E-2</v>
      </c>
      <c r="G898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Master'!$F:$F,B898),"")</f>
        <v>143</v>
      </c>
      <c r="H898">
        <f>IF(AND(ISNUMBER(C898),C898&gt;='Bulk Calculator'!U78/('Bulk Calculator'!J78*'Bulk Calculator'!L78)),1,0)</f>
        <v>1</v>
      </c>
      <c r="I898">
        <f>IFERROR(IF(AND(ISNUMBER(E898),ISNUMBER(F898),E898&gt;0,F898&gt;0),SQRT(3)*'Bulk Calculator'!O78*'Bulk Calculator'!AA78*((E898*'Bulk Calculator'!Q78)+(F898*SQRT(1-'Bulk Calculator'!Q78^2)))/'Bulk Calculator'!J78/'Bulk Calculator'!K78*100,D898*'Bulk Calculator'!AA78*'Bulk Calculator'!O78/'Bulk Calculator'!J78/'Bulk Calculator'!K78*100),"")</f>
        <v>0</v>
      </c>
      <c r="J898">
        <f>IFERROR(IF(AND(ISNUMBER(E898),ISNUMBER(F898),E898&gt;0,F898&gt;0),SQRT(3)*'Bulk Calculator'!O78*'Bulk Calculator'!U78*((E898*'Bulk Calculator'!M78)+(F898*SQRT(1-'Bulk Calculator'!M78^2)))/'Bulk Calculator'!J78/'Bulk Calculator'!K78*100,D898*'Bulk Calculator'!U78*'Bulk Calculator'!O78/'Bulk Calculator'!J78/'Bulk Calculator'!K78*100),"")</f>
        <v>0</v>
      </c>
      <c r="K898">
        <f>IFERROR(G898*B898*'Bulk Calculator'!J78/SQRT('Bulk Calculator'!S78)/1000,"")</f>
        <v>15.987886039123497</v>
      </c>
      <c r="L898">
        <f>IF(OR('Bulk Calculator'!R78="",'Bulk Calculator'!S78="",G898=""),0,IF(K898&gt;='Bulk Calculator'!R78,1,0))</f>
        <v>1</v>
      </c>
      <c r="M898">
        <f>IF(AND(H898=1,I898&lt;='OS-DORAEN'!$B$6,J898&lt;='OS-DORAEN'!$B$5,L898=1),1,0)</f>
        <v>1</v>
      </c>
      <c r="N898" t="str">
        <f t="shared" ref="N898:N961" si="14">IF(AND(ISNUMBER(E898),ISNUMBER(F898),E898&gt;0,F898&gt;0),"R/X","Manufacturer VD Ref")</f>
        <v>R/X</v>
      </c>
    </row>
    <row r="899" spans="1:14" ht="15" customHeight="1" x14ac:dyDescent="0.35">
      <c r="A899">
        <v>78</v>
      </c>
      <c r="B899">
        <v>35</v>
      </c>
      <c r="C899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Master'!$F:$F,B899),"")</f>
        <v>117</v>
      </c>
      <c r="D899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Master'!$F:$F,B899),"")</f>
        <v>1.1100000000000001</v>
      </c>
      <c r="E899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Master'!$F:$F,B899),"")</f>
        <v>1.1100000000000001</v>
      </c>
      <c r="F899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Master'!$F:$F,B899),"")</f>
        <v>0.08</v>
      </c>
      <c r="G899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Master'!$F:$F,B899),"")</f>
        <v>143</v>
      </c>
      <c r="H899">
        <f>IF(AND(ISNUMBER(C899),C899&gt;='Bulk Calculator'!U78/('Bulk Calculator'!J78*'Bulk Calculator'!L78)),1,0)</f>
        <v>1</v>
      </c>
      <c r="I899">
        <f>IFERROR(IF(AND(ISNUMBER(E899),ISNUMBER(F899),E899&gt;0,F899&gt;0),SQRT(3)*'Bulk Calculator'!O78*'Bulk Calculator'!AA78*((E899*'Bulk Calculator'!Q78)+(F899*SQRT(1-'Bulk Calculator'!Q78^2)))/'Bulk Calculator'!J78/'Bulk Calculator'!K78*100,D899*'Bulk Calculator'!AA78*'Bulk Calculator'!O78/'Bulk Calculator'!J78/'Bulk Calculator'!K78*100),"")</f>
        <v>0</v>
      </c>
      <c r="J899">
        <f>IFERROR(IF(AND(ISNUMBER(E899),ISNUMBER(F899),E899&gt;0,F899&gt;0),SQRT(3)*'Bulk Calculator'!O78*'Bulk Calculator'!U78*((E899*'Bulk Calculator'!M78)+(F899*SQRT(1-'Bulk Calculator'!M78^2)))/'Bulk Calculator'!J78/'Bulk Calculator'!K78*100,D899*'Bulk Calculator'!U78*'Bulk Calculator'!O78/'Bulk Calculator'!J78/'Bulk Calculator'!K78*100),"")</f>
        <v>0</v>
      </c>
      <c r="K899">
        <f>IFERROR(G899*B899*'Bulk Calculator'!J78/SQRT('Bulk Calculator'!S78)/1000,"")</f>
        <v>11.191520227386446</v>
      </c>
      <c r="L899">
        <f>IF(OR('Bulk Calculator'!R78="",'Bulk Calculator'!S78="",G899=""),0,IF(K899&gt;='Bulk Calculator'!R78,1,0))</f>
        <v>1</v>
      </c>
      <c r="M899">
        <f>IF(AND(H899=1,I899&lt;='OS-DORAEN'!$B$6,J899&lt;='OS-DORAEN'!$B$5,L899=1),1,0)</f>
        <v>1</v>
      </c>
      <c r="N899" t="str">
        <f t="shared" si="14"/>
        <v>R/X</v>
      </c>
    </row>
    <row r="900" spans="1:14" ht="15" customHeight="1" x14ac:dyDescent="0.35">
      <c r="A900">
        <v>78</v>
      </c>
      <c r="B900">
        <v>25</v>
      </c>
      <c r="C900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Master'!$F:$F,B900),"")</f>
        <v>96</v>
      </c>
      <c r="D900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Master'!$F:$F,B900),"")</f>
        <v>1.54</v>
      </c>
      <c r="E900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Master'!$F:$F,B900),"")</f>
        <v>1.54</v>
      </c>
      <c r="F900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Master'!$F:$F,B900),"")</f>
        <v>0.08</v>
      </c>
      <c r="G900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Master'!$F:$F,B900),"")</f>
        <v>143</v>
      </c>
      <c r="H900">
        <f>IF(AND(ISNUMBER(C900),C900&gt;='Bulk Calculator'!U78/('Bulk Calculator'!J78*'Bulk Calculator'!L78)),1,0)</f>
        <v>1</v>
      </c>
      <c r="I900">
        <f>IFERROR(IF(AND(ISNUMBER(E900),ISNUMBER(F900),E900&gt;0,F900&gt;0),SQRT(3)*'Bulk Calculator'!O78*'Bulk Calculator'!AA78*((E900*'Bulk Calculator'!Q78)+(F900*SQRT(1-'Bulk Calculator'!Q78^2)))/'Bulk Calculator'!J78/'Bulk Calculator'!K78*100,D900*'Bulk Calculator'!AA78*'Bulk Calculator'!O78/'Bulk Calculator'!J78/'Bulk Calculator'!K78*100),"")</f>
        <v>0</v>
      </c>
      <c r="J900">
        <f>IFERROR(IF(AND(ISNUMBER(E900),ISNUMBER(F900),E900&gt;0,F900&gt;0),SQRT(3)*'Bulk Calculator'!O78*'Bulk Calculator'!U78*((E900*'Bulk Calculator'!M78)+(F900*SQRT(1-'Bulk Calculator'!M78^2)))/'Bulk Calculator'!J78/'Bulk Calculator'!K78*100,D900*'Bulk Calculator'!U78*'Bulk Calculator'!O78/'Bulk Calculator'!J78/'Bulk Calculator'!K78*100),"")</f>
        <v>0</v>
      </c>
      <c r="K900">
        <f>IFERROR(G900*B900*'Bulk Calculator'!J78/SQRT('Bulk Calculator'!S78)/1000,"")</f>
        <v>7.9939430195617485</v>
      </c>
      <c r="L900">
        <f>IF(OR('Bulk Calculator'!R78="",'Bulk Calculator'!S78="",G900=""),0,IF(K900&gt;='Bulk Calculator'!R78,1,0))</f>
        <v>1</v>
      </c>
      <c r="M900">
        <f>IF(AND(H900=1,I900&lt;='OS-DORAEN'!$B$6,J900&lt;='OS-DORAEN'!$B$5,L900=1),1,0)</f>
        <v>1</v>
      </c>
      <c r="N900" t="str">
        <f t="shared" si="14"/>
        <v>R/X</v>
      </c>
    </row>
    <row r="901" spans="1:14" ht="15" customHeight="1" x14ac:dyDescent="0.35">
      <c r="A901">
        <v>78</v>
      </c>
      <c r="B901">
        <v>16</v>
      </c>
      <c r="C901">
        <f>IFERROR(SUMIFS('Cable Data Master'!$G:$G,'Cable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Master'!$F:$F,B901),"")</f>
        <v>0</v>
      </c>
      <c r="D901">
        <f>IFERROR(SUMIFS('Cable Data Master'!$K:$K,'Cable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Master'!$F:$F,B901),"")</f>
        <v>0</v>
      </c>
      <c r="E901">
        <f>IFERROR(SUMIFS('Cable Data Master'!$H:$H,'Cable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Master'!$F:$F,B901),"")</f>
        <v>0</v>
      </c>
      <c r="F901">
        <f>IFERROR(SUMIFS('Cable Data Master'!$I:$I,'Cable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Master'!$F:$F,B901),"")</f>
        <v>0</v>
      </c>
      <c r="G901">
        <f>IFERROR(SUMIFS('Cable Data Master'!$J:$J,'Cable Data Master'!$A:$A,'Bulk Calculator'!$BF78,'Cable Data Master'!$B:$B,'Bulk Calculator'!$BG78,'Cable Data Master'!$C:$C,'Bulk Calculator'!$BH78,'Cable Data Master'!$D:$D,'Bulk Calculator'!$BI78,'Cable Data Master'!$E:$E,'Bulk Calculator'!$BJ78,'Cable Data Master'!$F:$F,B901),"")</f>
        <v>0</v>
      </c>
      <c r="H901">
        <f>IF(AND(ISNUMBER(C901),C901&gt;='Bulk Calculator'!U78/('Bulk Calculator'!J78*'Bulk Calculator'!L78)),1,0)</f>
        <v>1</v>
      </c>
      <c r="I901">
        <f>IFERROR(IF(AND(ISNUMBER(E901),ISNUMBER(F901),E901&gt;0,F901&gt;0),SQRT(3)*'Bulk Calculator'!O78*'Bulk Calculator'!AA78*((E901*'Bulk Calculator'!Q78)+(F901*SQRT(1-'Bulk Calculator'!Q78^2)))/'Bulk Calculator'!J78/'Bulk Calculator'!K78*100,D901*'Bulk Calculator'!AA78*'Bulk Calculator'!O78/'Bulk Calculator'!J78/'Bulk Calculator'!K78*100),"")</f>
        <v>0</v>
      </c>
      <c r="J901">
        <f>IFERROR(IF(AND(ISNUMBER(E901),ISNUMBER(F901),E901&gt;0,F901&gt;0),SQRT(3)*'Bulk Calculator'!O78*'Bulk Calculator'!U78*((E901*'Bulk Calculator'!M78)+(F901*SQRT(1-'Bulk Calculator'!M78^2)))/'Bulk Calculator'!J78/'Bulk Calculator'!K78*100,D901*'Bulk Calculator'!U78*'Bulk Calculator'!O78/'Bulk Calculator'!J78/'Bulk Calculator'!K78*100),"")</f>
        <v>0</v>
      </c>
      <c r="K901">
        <f>IFERROR(G901*B901*'Bulk Calculator'!J78/SQRT('Bulk Calculator'!S78)/1000,"")</f>
        <v>0</v>
      </c>
      <c r="L901">
        <f>IF(OR('Bulk Calculator'!R78="",'Bulk Calculator'!S78="",G901=""),0,IF(K901&gt;='Bulk Calculator'!R78,1,0))</f>
        <v>1</v>
      </c>
      <c r="M901">
        <f>IF(AND(H901=1,I901&lt;='OS-DORAEN'!$B$6,J901&lt;='OS-DORAEN'!$B$5,L901=1),1,0)</f>
        <v>1</v>
      </c>
      <c r="N901" t="str">
        <f t="shared" si="14"/>
        <v>Manufacturer VD Ref</v>
      </c>
    </row>
    <row r="902" spans="1:14" ht="15" customHeight="1" x14ac:dyDescent="0.35">
      <c r="A902">
        <v>79</v>
      </c>
      <c r="B902">
        <v>400</v>
      </c>
      <c r="C902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Master'!$F:$F,B902),"")</f>
        <v>530</v>
      </c>
      <c r="D902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Master'!$F:$F,B902),"")</f>
        <v>0.1023</v>
      </c>
      <c r="E902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Master'!$F:$F,B902),"")</f>
        <v>0.1023</v>
      </c>
      <c r="F902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Master'!$F:$F,B902),"")</f>
        <v>7.0000000000000007E-2</v>
      </c>
      <c r="G902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Master'!$F:$F,B902),"")</f>
        <v>143</v>
      </c>
      <c r="H902">
        <f>IF(AND(ISNUMBER(C902),C902&gt;='Bulk Calculator'!U79/('Bulk Calculator'!J79*'Bulk Calculator'!L79)),1,0)</f>
        <v>1</v>
      </c>
      <c r="I902">
        <f>IFERROR(IF(AND(ISNUMBER(E902),ISNUMBER(F902),E902&gt;0,F902&gt;0),SQRT(3)*'Bulk Calculator'!O79*'Bulk Calculator'!AA79*((E902*'Bulk Calculator'!Q79)+(F902*SQRT(1-'Bulk Calculator'!Q79^2)))/'Bulk Calculator'!J79/'Bulk Calculator'!K79*100,D902*'Bulk Calculator'!AA79*'Bulk Calculator'!O79/'Bulk Calculator'!J79/'Bulk Calculator'!K79*100),"")</f>
        <v>0</v>
      </c>
      <c r="J902">
        <f>IFERROR(IF(AND(ISNUMBER(E902),ISNUMBER(F902),E902&gt;0,F902&gt;0),SQRT(3)*'Bulk Calculator'!O79*'Bulk Calculator'!U79*((E902*'Bulk Calculator'!M79)+(F902*SQRT(1-'Bulk Calculator'!M79^2)))/'Bulk Calculator'!J79/'Bulk Calculator'!K79*100,D902*'Bulk Calculator'!U79*'Bulk Calculator'!O79/'Bulk Calculator'!J79/'Bulk Calculator'!K79*100),"")</f>
        <v>0</v>
      </c>
      <c r="K902">
        <f>IFERROR(G902*B902*'Bulk Calculator'!J79/SQRT('Bulk Calculator'!S79)/1000,"")</f>
        <v>127.90308831298798</v>
      </c>
      <c r="L902">
        <f>IF(OR('Bulk Calculator'!R79="",'Bulk Calculator'!S79="",G902=""),0,IF(K902&gt;='Bulk Calculator'!R79,1,0))</f>
        <v>1</v>
      </c>
      <c r="M902">
        <f>IF(AND(H902=1,I902&lt;='OS-DORAEN'!$B$6,J902&lt;='OS-DORAEN'!$B$5,L902=1),1,0)</f>
        <v>1</v>
      </c>
      <c r="N902" t="str">
        <f t="shared" si="14"/>
        <v>R/X</v>
      </c>
    </row>
    <row r="903" spans="1:14" ht="15" customHeight="1" x14ac:dyDescent="0.35">
      <c r="A903">
        <v>79</v>
      </c>
      <c r="B903">
        <v>300</v>
      </c>
      <c r="C903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Master'!$F:$F,B903),"")</f>
        <v>455</v>
      </c>
      <c r="D903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Master'!$F:$F,B903),"")</f>
        <v>0.13</v>
      </c>
      <c r="E903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Master'!$F:$F,B903),"")</f>
        <v>0.13</v>
      </c>
      <c r="F903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Master'!$F:$F,B903),"")</f>
        <v>7.0999999999999994E-2</v>
      </c>
      <c r="G903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Master'!$F:$F,B903),"")</f>
        <v>143</v>
      </c>
      <c r="H903">
        <f>IF(AND(ISNUMBER(C903),C903&gt;='Bulk Calculator'!U79/('Bulk Calculator'!J79*'Bulk Calculator'!L79)),1,0)</f>
        <v>1</v>
      </c>
      <c r="I903">
        <f>IFERROR(IF(AND(ISNUMBER(E903),ISNUMBER(F903),E903&gt;0,F903&gt;0),SQRT(3)*'Bulk Calculator'!O79*'Bulk Calculator'!AA79*((E903*'Bulk Calculator'!Q79)+(F903*SQRT(1-'Bulk Calculator'!Q79^2)))/'Bulk Calculator'!J79/'Bulk Calculator'!K79*100,D903*'Bulk Calculator'!AA79*'Bulk Calculator'!O79/'Bulk Calculator'!J79/'Bulk Calculator'!K79*100),"")</f>
        <v>0</v>
      </c>
      <c r="J903">
        <f>IFERROR(IF(AND(ISNUMBER(E903),ISNUMBER(F903),E903&gt;0,F903&gt;0),SQRT(3)*'Bulk Calculator'!O79*'Bulk Calculator'!U79*((E903*'Bulk Calculator'!M79)+(F903*SQRT(1-'Bulk Calculator'!M79^2)))/'Bulk Calculator'!J79/'Bulk Calculator'!K79*100,D903*'Bulk Calculator'!U79*'Bulk Calculator'!O79/'Bulk Calculator'!J79/'Bulk Calculator'!K79*100),"")</f>
        <v>0</v>
      </c>
      <c r="K903">
        <f>IFERROR(G903*B903*'Bulk Calculator'!J79/SQRT('Bulk Calculator'!S79)/1000,"")</f>
        <v>95.927316234740985</v>
      </c>
      <c r="L903">
        <f>IF(OR('Bulk Calculator'!R79="",'Bulk Calculator'!S79="",G903=""),0,IF(K903&gt;='Bulk Calculator'!R79,1,0))</f>
        <v>1</v>
      </c>
      <c r="M903">
        <f>IF(AND(H903=1,I903&lt;='OS-DORAEN'!$B$6,J903&lt;='OS-DORAEN'!$B$5,L903=1),1,0)</f>
        <v>1</v>
      </c>
      <c r="N903" t="str">
        <f t="shared" si="14"/>
        <v>R/X</v>
      </c>
    </row>
    <row r="904" spans="1:14" ht="15" customHeight="1" x14ac:dyDescent="0.35">
      <c r="A904">
        <v>79</v>
      </c>
      <c r="B904">
        <v>240</v>
      </c>
      <c r="C904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Master'!$F:$F,B904),"")</f>
        <v>399</v>
      </c>
      <c r="D904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Master'!$F:$F,B904),"")</f>
        <v>0.16200000000000001</v>
      </c>
      <c r="E904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Master'!$F:$F,B904),"")</f>
        <v>0.16200000000000001</v>
      </c>
      <c r="F904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Master'!$F:$F,B904),"")</f>
        <v>7.1999999999999995E-2</v>
      </c>
      <c r="G904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Master'!$F:$F,B904),"")</f>
        <v>143</v>
      </c>
      <c r="H904">
        <f>IF(AND(ISNUMBER(C904),C904&gt;='Bulk Calculator'!U79/('Bulk Calculator'!J79*'Bulk Calculator'!L79)),1,0)</f>
        <v>1</v>
      </c>
      <c r="I904">
        <f>IFERROR(IF(AND(ISNUMBER(E904),ISNUMBER(F904),E904&gt;0,F904&gt;0),SQRT(3)*'Bulk Calculator'!O79*'Bulk Calculator'!AA79*((E904*'Bulk Calculator'!Q79)+(F904*SQRT(1-'Bulk Calculator'!Q79^2)))/'Bulk Calculator'!J79/'Bulk Calculator'!K79*100,D904*'Bulk Calculator'!AA79*'Bulk Calculator'!O79/'Bulk Calculator'!J79/'Bulk Calculator'!K79*100),"")</f>
        <v>0</v>
      </c>
      <c r="J904">
        <f>IFERROR(IF(AND(ISNUMBER(E904),ISNUMBER(F904),E904&gt;0,F904&gt;0),SQRT(3)*'Bulk Calculator'!O79*'Bulk Calculator'!U79*((E904*'Bulk Calculator'!M79)+(F904*SQRT(1-'Bulk Calculator'!M79^2)))/'Bulk Calculator'!J79/'Bulk Calculator'!K79*100,D904*'Bulk Calculator'!U79*'Bulk Calculator'!O79/'Bulk Calculator'!J79/'Bulk Calculator'!K79*100),"")</f>
        <v>0</v>
      </c>
      <c r="K904">
        <f>IFERROR(G904*B904*'Bulk Calculator'!J79/SQRT('Bulk Calculator'!S79)/1000,"")</f>
        <v>76.741852987792782</v>
      </c>
      <c r="L904">
        <f>IF(OR('Bulk Calculator'!R79="",'Bulk Calculator'!S79="",G904=""),0,IF(K904&gt;='Bulk Calculator'!R79,1,0))</f>
        <v>1</v>
      </c>
      <c r="M904">
        <f>IF(AND(H904=1,I904&lt;='OS-DORAEN'!$B$6,J904&lt;='OS-DORAEN'!$B$5,L904=1),1,0)</f>
        <v>1</v>
      </c>
      <c r="N904" t="str">
        <f t="shared" si="14"/>
        <v>R/X</v>
      </c>
    </row>
    <row r="905" spans="1:14" ht="15" customHeight="1" x14ac:dyDescent="0.35">
      <c r="A905">
        <v>79</v>
      </c>
      <c r="B905">
        <v>185</v>
      </c>
      <c r="C905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Master'!$F:$F,B905),"")</f>
        <v>337</v>
      </c>
      <c r="D905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Master'!$F:$F,B905),"")</f>
        <v>0.21099999999999999</v>
      </c>
      <c r="E905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Master'!$F:$F,B905),"")</f>
        <v>0.21099999999999999</v>
      </c>
      <c r="F905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Master'!$F:$F,B905),"")</f>
        <v>7.1999999999999995E-2</v>
      </c>
      <c r="G905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Master'!$F:$F,B905),"")</f>
        <v>143</v>
      </c>
      <c r="H905">
        <f>IF(AND(ISNUMBER(C905),C905&gt;='Bulk Calculator'!U79/('Bulk Calculator'!J79*'Bulk Calculator'!L79)),1,0)</f>
        <v>1</v>
      </c>
      <c r="I905">
        <f>IFERROR(IF(AND(ISNUMBER(E905),ISNUMBER(F905),E905&gt;0,F905&gt;0),SQRT(3)*'Bulk Calculator'!O79*'Bulk Calculator'!AA79*((E905*'Bulk Calculator'!Q79)+(F905*SQRT(1-'Bulk Calculator'!Q79^2)))/'Bulk Calculator'!J79/'Bulk Calculator'!K79*100,D905*'Bulk Calculator'!AA79*'Bulk Calculator'!O79/'Bulk Calculator'!J79/'Bulk Calculator'!K79*100),"")</f>
        <v>0</v>
      </c>
      <c r="J905">
        <f>IFERROR(IF(AND(ISNUMBER(E905),ISNUMBER(F905),E905&gt;0,F905&gt;0),SQRT(3)*'Bulk Calculator'!O79*'Bulk Calculator'!U79*((E905*'Bulk Calculator'!M79)+(F905*SQRT(1-'Bulk Calculator'!M79^2)))/'Bulk Calculator'!J79/'Bulk Calculator'!K79*100,D905*'Bulk Calculator'!U79*'Bulk Calculator'!O79/'Bulk Calculator'!J79/'Bulk Calculator'!K79*100),"")</f>
        <v>0</v>
      </c>
      <c r="K905">
        <f>IFERROR(G905*B905*'Bulk Calculator'!J79/SQRT('Bulk Calculator'!S79)/1000,"")</f>
        <v>59.155178344756941</v>
      </c>
      <c r="L905">
        <f>IF(OR('Bulk Calculator'!R79="",'Bulk Calculator'!S79="",G905=""),0,IF(K905&gt;='Bulk Calculator'!R79,1,0))</f>
        <v>1</v>
      </c>
      <c r="M905">
        <f>IF(AND(H905=1,I905&lt;='OS-DORAEN'!$B$6,J905&lt;='OS-DORAEN'!$B$5,L905=1),1,0)</f>
        <v>1</v>
      </c>
      <c r="N905" t="str">
        <f t="shared" si="14"/>
        <v>R/X</v>
      </c>
    </row>
    <row r="906" spans="1:14" ht="15" customHeight="1" x14ac:dyDescent="0.35">
      <c r="A906">
        <v>79</v>
      </c>
      <c r="B906">
        <v>150</v>
      </c>
      <c r="C906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Master'!$F:$F,B906),"")</f>
        <v>292</v>
      </c>
      <c r="D906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Master'!$F:$F,B906),"")</f>
        <v>0.26500000000000001</v>
      </c>
      <c r="E906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Master'!$F:$F,B906),"")</f>
        <v>0.26500000000000001</v>
      </c>
      <c r="F906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Master'!$F:$F,B906),"")</f>
        <v>7.1999999999999995E-2</v>
      </c>
      <c r="G906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Master'!$F:$F,B906),"")</f>
        <v>143</v>
      </c>
      <c r="H906">
        <f>IF(AND(ISNUMBER(C906),C906&gt;='Bulk Calculator'!U79/('Bulk Calculator'!J79*'Bulk Calculator'!L79)),1,0)</f>
        <v>1</v>
      </c>
      <c r="I906">
        <f>IFERROR(IF(AND(ISNUMBER(E906),ISNUMBER(F906),E906&gt;0,F906&gt;0),SQRT(3)*'Bulk Calculator'!O79*'Bulk Calculator'!AA79*((E906*'Bulk Calculator'!Q79)+(F906*SQRT(1-'Bulk Calculator'!Q79^2)))/'Bulk Calculator'!J79/'Bulk Calculator'!K79*100,D906*'Bulk Calculator'!AA79*'Bulk Calculator'!O79/'Bulk Calculator'!J79/'Bulk Calculator'!K79*100),"")</f>
        <v>0</v>
      </c>
      <c r="J906">
        <f>IFERROR(IF(AND(ISNUMBER(E906),ISNUMBER(F906),E906&gt;0,F906&gt;0),SQRT(3)*'Bulk Calculator'!O79*'Bulk Calculator'!U79*((E906*'Bulk Calculator'!M79)+(F906*SQRT(1-'Bulk Calculator'!M79^2)))/'Bulk Calculator'!J79/'Bulk Calculator'!K79*100,D906*'Bulk Calculator'!U79*'Bulk Calculator'!O79/'Bulk Calculator'!J79/'Bulk Calculator'!K79*100),"")</f>
        <v>0</v>
      </c>
      <c r="K906">
        <f>IFERROR(G906*B906*'Bulk Calculator'!J79/SQRT('Bulk Calculator'!S79)/1000,"")</f>
        <v>47.963658117370493</v>
      </c>
      <c r="L906">
        <f>IF(OR('Bulk Calculator'!R79="",'Bulk Calculator'!S79="",G906=""),0,IF(K906&gt;='Bulk Calculator'!R79,1,0))</f>
        <v>1</v>
      </c>
      <c r="M906">
        <f>IF(AND(H906=1,I906&lt;='OS-DORAEN'!$B$6,J906&lt;='OS-DORAEN'!$B$5,L906=1),1,0)</f>
        <v>1</v>
      </c>
      <c r="N906" t="str">
        <f t="shared" si="14"/>
        <v>R/X</v>
      </c>
    </row>
    <row r="907" spans="1:14" ht="15" customHeight="1" x14ac:dyDescent="0.35">
      <c r="A907">
        <v>79</v>
      </c>
      <c r="B907">
        <v>120</v>
      </c>
      <c r="C907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Master'!$F:$F,B907),"")</f>
        <v>257</v>
      </c>
      <c r="D907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Master'!$F:$F,B907),"")</f>
        <v>0.32500000000000001</v>
      </c>
      <c r="E907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Master'!$F:$F,B907),"")</f>
        <v>0.32500000000000001</v>
      </c>
      <c r="F907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Master'!$F:$F,B907),"")</f>
        <v>7.1999999999999995E-2</v>
      </c>
      <c r="G907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Master'!$F:$F,B907),"")</f>
        <v>143</v>
      </c>
      <c r="H907">
        <f>IF(AND(ISNUMBER(C907),C907&gt;='Bulk Calculator'!U79/('Bulk Calculator'!J79*'Bulk Calculator'!L79)),1,0)</f>
        <v>1</v>
      </c>
      <c r="I907">
        <f>IFERROR(IF(AND(ISNUMBER(E907),ISNUMBER(F907),E907&gt;0,F907&gt;0),SQRT(3)*'Bulk Calculator'!O79*'Bulk Calculator'!AA79*((E907*'Bulk Calculator'!Q79)+(F907*SQRT(1-'Bulk Calculator'!Q79^2)))/'Bulk Calculator'!J79/'Bulk Calculator'!K79*100,D907*'Bulk Calculator'!AA79*'Bulk Calculator'!O79/'Bulk Calculator'!J79/'Bulk Calculator'!K79*100),"")</f>
        <v>0</v>
      </c>
      <c r="J907">
        <f>IFERROR(IF(AND(ISNUMBER(E907),ISNUMBER(F907),E907&gt;0,F907&gt;0),SQRT(3)*'Bulk Calculator'!O79*'Bulk Calculator'!U79*((E907*'Bulk Calculator'!M79)+(F907*SQRT(1-'Bulk Calculator'!M79^2)))/'Bulk Calculator'!J79/'Bulk Calculator'!K79*100,D907*'Bulk Calculator'!U79*'Bulk Calculator'!O79/'Bulk Calculator'!J79/'Bulk Calculator'!K79*100),"")</f>
        <v>0</v>
      </c>
      <c r="K907">
        <f>IFERROR(G907*B907*'Bulk Calculator'!J79/SQRT('Bulk Calculator'!S79)/1000,"")</f>
        <v>38.370926493896391</v>
      </c>
      <c r="L907">
        <f>IF(OR('Bulk Calculator'!R79="",'Bulk Calculator'!S79="",G907=""),0,IF(K907&gt;='Bulk Calculator'!R79,1,0))</f>
        <v>1</v>
      </c>
      <c r="M907">
        <f>IF(AND(H907=1,I907&lt;='OS-DORAEN'!$B$6,J907&lt;='OS-DORAEN'!$B$5,L907=1),1,0)</f>
        <v>1</v>
      </c>
      <c r="N907" t="str">
        <f t="shared" si="14"/>
        <v>R/X</v>
      </c>
    </row>
    <row r="908" spans="1:14" ht="15" customHeight="1" x14ac:dyDescent="0.35">
      <c r="A908">
        <v>79</v>
      </c>
      <c r="B908">
        <v>95</v>
      </c>
      <c r="C908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Master'!$F:$F,B908),"")</f>
        <v>221</v>
      </c>
      <c r="D908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Master'!$F:$F,B908),"")</f>
        <v>0.41</v>
      </c>
      <c r="E908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Master'!$F:$F,B908),"")</f>
        <v>0.41</v>
      </c>
      <c r="F908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Master'!$F:$F,B908),"")</f>
        <v>7.3999999999999996E-2</v>
      </c>
      <c r="G908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Master'!$F:$F,B908),"")</f>
        <v>143</v>
      </c>
      <c r="H908">
        <f>IF(AND(ISNUMBER(C908),C908&gt;='Bulk Calculator'!U79/('Bulk Calculator'!J79*'Bulk Calculator'!L79)),1,0)</f>
        <v>1</v>
      </c>
      <c r="I908">
        <f>IFERROR(IF(AND(ISNUMBER(E908),ISNUMBER(F908),E908&gt;0,F908&gt;0),SQRT(3)*'Bulk Calculator'!O79*'Bulk Calculator'!AA79*((E908*'Bulk Calculator'!Q79)+(F908*SQRT(1-'Bulk Calculator'!Q79^2)))/'Bulk Calculator'!J79/'Bulk Calculator'!K79*100,D908*'Bulk Calculator'!AA79*'Bulk Calculator'!O79/'Bulk Calculator'!J79/'Bulk Calculator'!K79*100),"")</f>
        <v>0</v>
      </c>
      <c r="J908">
        <f>IFERROR(IF(AND(ISNUMBER(E908),ISNUMBER(F908),E908&gt;0,F908&gt;0),SQRT(3)*'Bulk Calculator'!O79*'Bulk Calculator'!U79*((E908*'Bulk Calculator'!M79)+(F908*SQRT(1-'Bulk Calculator'!M79^2)))/'Bulk Calculator'!J79/'Bulk Calculator'!K79*100,D908*'Bulk Calculator'!U79*'Bulk Calculator'!O79/'Bulk Calculator'!J79/'Bulk Calculator'!K79*100),"")</f>
        <v>0</v>
      </c>
      <c r="K908">
        <f>IFERROR(G908*B908*'Bulk Calculator'!J79/SQRT('Bulk Calculator'!S79)/1000,"")</f>
        <v>30.376983474334644</v>
      </c>
      <c r="L908">
        <f>IF(OR('Bulk Calculator'!R79="",'Bulk Calculator'!S79="",G908=""),0,IF(K908&gt;='Bulk Calculator'!R79,1,0))</f>
        <v>1</v>
      </c>
      <c r="M908">
        <f>IF(AND(H908=1,I908&lt;='OS-DORAEN'!$B$6,J908&lt;='OS-DORAEN'!$B$5,L908=1),1,0)</f>
        <v>1</v>
      </c>
      <c r="N908" t="str">
        <f t="shared" si="14"/>
        <v>R/X</v>
      </c>
    </row>
    <row r="909" spans="1:14" ht="15" customHeight="1" x14ac:dyDescent="0.35">
      <c r="A909">
        <v>79</v>
      </c>
      <c r="B909">
        <v>70</v>
      </c>
      <c r="C909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Master'!$F:$F,B909),"")</f>
        <v>179</v>
      </c>
      <c r="D909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Master'!$F:$F,B909),"")</f>
        <v>0.56699999999999995</v>
      </c>
      <c r="E909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Master'!$F:$F,B909),"")</f>
        <v>0.56699999999999995</v>
      </c>
      <c r="F909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Master'!$F:$F,B909),"")</f>
        <v>7.6999999999999999E-2</v>
      </c>
      <c r="G909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Master'!$F:$F,B909),"")</f>
        <v>143</v>
      </c>
      <c r="H909">
        <f>IF(AND(ISNUMBER(C909),C909&gt;='Bulk Calculator'!U79/('Bulk Calculator'!J79*'Bulk Calculator'!L79)),1,0)</f>
        <v>1</v>
      </c>
      <c r="I909">
        <f>IFERROR(IF(AND(ISNUMBER(E909),ISNUMBER(F909),E909&gt;0,F909&gt;0),SQRT(3)*'Bulk Calculator'!O79*'Bulk Calculator'!AA79*((E909*'Bulk Calculator'!Q79)+(F909*SQRT(1-'Bulk Calculator'!Q79^2)))/'Bulk Calculator'!J79/'Bulk Calculator'!K79*100,D909*'Bulk Calculator'!AA79*'Bulk Calculator'!O79/'Bulk Calculator'!J79/'Bulk Calculator'!K79*100),"")</f>
        <v>0</v>
      </c>
      <c r="J909">
        <f>IFERROR(IF(AND(ISNUMBER(E909),ISNUMBER(F909),E909&gt;0,F909&gt;0),SQRT(3)*'Bulk Calculator'!O79*'Bulk Calculator'!U79*((E909*'Bulk Calculator'!M79)+(F909*SQRT(1-'Bulk Calculator'!M79^2)))/'Bulk Calculator'!J79/'Bulk Calculator'!K79*100,D909*'Bulk Calculator'!U79*'Bulk Calculator'!O79/'Bulk Calculator'!J79/'Bulk Calculator'!K79*100),"")</f>
        <v>0</v>
      </c>
      <c r="K909">
        <f>IFERROR(G909*B909*'Bulk Calculator'!J79/SQRT('Bulk Calculator'!S79)/1000,"")</f>
        <v>22.383040454772893</v>
      </c>
      <c r="L909">
        <f>IF(OR('Bulk Calculator'!R79="",'Bulk Calculator'!S79="",G909=""),0,IF(K909&gt;='Bulk Calculator'!R79,1,0))</f>
        <v>1</v>
      </c>
      <c r="M909">
        <f>IF(AND(H909=1,I909&lt;='OS-DORAEN'!$B$6,J909&lt;='OS-DORAEN'!$B$5,L909=1),1,0)</f>
        <v>1</v>
      </c>
      <c r="N909" t="str">
        <f t="shared" si="14"/>
        <v>R/X</v>
      </c>
    </row>
    <row r="910" spans="1:14" ht="15" customHeight="1" x14ac:dyDescent="0.35">
      <c r="A910">
        <v>79</v>
      </c>
      <c r="B910">
        <v>50</v>
      </c>
      <c r="C910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Master'!$F:$F,B910),"")</f>
        <v>142</v>
      </c>
      <c r="D910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Master'!$F:$F,B910),"")</f>
        <v>0.82</v>
      </c>
      <c r="E910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Master'!$F:$F,B910),"")</f>
        <v>0.82</v>
      </c>
      <c r="F910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Master'!$F:$F,B910),"")</f>
        <v>7.8E-2</v>
      </c>
      <c r="G910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Master'!$F:$F,B910),"")</f>
        <v>143</v>
      </c>
      <c r="H910">
        <f>IF(AND(ISNUMBER(C910),C910&gt;='Bulk Calculator'!U79/('Bulk Calculator'!J79*'Bulk Calculator'!L79)),1,0)</f>
        <v>1</v>
      </c>
      <c r="I910">
        <f>IFERROR(IF(AND(ISNUMBER(E910),ISNUMBER(F910),E910&gt;0,F910&gt;0),SQRT(3)*'Bulk Calculator'!O79*'Bulk Calculator'!AA79*((E910*'Bulk Calculator'!Q79)+(F910*SQRT(1-'Bulk Calculator'!Q79^2)))/'Bulk Calculator'!J79/'Bulk Calculator'!K79*100,D910*'Bulk Calculator'!AA79*'Bulk Calculator'!O79/'Bulk Calculator'!J79/'Bulk Calculator'!K79*100),"")</f>
        <v>0</v>
      </c>
      <c r="J910">
        <f>IFERROR(IF(AND(ISNUMBER(E910),ISNUMBER(F910),E910&gt;0,F910&gt;0),SQRT(3)*'Bulk Calculator'!O79*'Bulk Calculator'!U79*((E910*'Bulk Calculator'!M79)+(F910*SQRT(1-'Bulk Calculator'!M79^2)))/'Bulk Calculator'!J79/'Bulk Calculator'!K79*100,D910*'Bulk Calculator'!U79*'Bulk Calculator'!O79/'Bulk Calculator'!J79/'Bulk Calculator'!K79*100),"")</f>
        <v>0</v>
      </c>
      <c r="K910">
        <f>IFERROR(G910*B910*'Bulk Calculator'!J79/SQRT('Bulk Calculator'!S79)/1000,"")</f>
        <v>15.987886039123497</v>
      </c>
      <c r="L910">
        <f>IF(OR('Bulk Calculator'!R79="",'Bulk Calculator'!S79="",G910=""),0,IF(K910&gt;='Bulk Calculator'!R79,1,0))</f>
        <v>1</v>
      </c>
      <c r="M910">
        <f>IF(AND(H910=1,I910&lt;='OS-DORAEN'!$B$6,J910&lt;='OS-DORAEN'!$B$5,L910=1),1,0)</f>
        <v>1</v>
      </c>
      <c r="N910" t="str">
        <f t="shared" si="14"/>
        <v>R/X</v>
      </c>
    </row>
    <row r="911" spans="1:14" ht="15" customHeight="1" x14ac:dyDescent="0.35">
      <c r="A911">
        <v>79</v>
      </c>
      <c r="B911">
        <v>35</v>
      </c>
      <c r="C911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Master'!$F:$F,B911),"")</f>
        <v>117</v>
      </c>
      <c r="D911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Master'!$F:$F,B911),"")</f>
        <v>1.1100000000000001</v>
      </c>
      <c r="E911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Master'!$F:$F,B911),"")</f>
        <v>1.1100000000000001</v>
      </c>
      <c r="F911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Master'!$F:$F,B911),"")</f>
        <v>0.08</v>
      </c>
      <c r="G911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Master'!$F:$F,B911),"")</f>
        <v>143</v>
      </c>
      <c r="H911">
        <f>IF(AND(ISNUMBER(C911),C911&gt;='Bulk Calculator'!U79/('Bulk Calculator'!J79*'Bulk Calculator'!L79)),1,0)</f>
        <v>1</v>
      </c>
      <c r="I911">
        <f>IFERROR(IF(AND(ISNUMBER(E911),ISNUMBER(F911),E911&gt;0,F911&gt;0),SQRT(3)*'Bulk Calculator'!O79*'Bulk Calculator'!AA79*((E911*'Bulk Calculator'!Q79)+(F911*SQRT(1-'Bulk Calculator'!Q79^2)))/'Bulk Calculator'!J79/'Bulk Calculator'!K79*100,D911*'Bulk Calculator'!AA79*'Bulk Calculator'!O79/'Bulk Calculator'!J79/'Bulk Calculator'!K79*100),"")</f>
        <v>0</v>
      </c>
      <c r="J911">
        <f>IFERROR(IF(AND(ISNUMBER(E911),ISNUMBER(F911),E911&gt;0,F911&gt;0),SQRT(3)*'Bulk Calculator'!O79*'Bulk Calculator'!U79*((E911*'Bulk Calculator'!M79)+(F911*SQRT(1-'Bulk Calculator'!M79^2)))/'Bulk Calculator'!J79/'Bulk Calculator'!K79*100,D911*'Bulk Calculator'!U79*'Bulk Calculator'!O79/'Bulk Calculator'!J79/'Bulk Calculator'!K79*100),"")</f>
        <v>0</v>
      </c>
      <c r="K911">
        <f>IFERROR(G911*B911*'Bulk Calculator'!J79/SQRT('Bulk Calculator'!S79)/1000,"")</f>
        <v>11.191520227386446</v>
      </c>
      <c r="L911">
        <f>IF(OR('Bulk Calculator'!R79="",'Bulk Calculator'!S79="",G911=""),0,IF(K911&gt;='Bulk Calculator'!R79,1,0))</f>
        <v>1</v>
      </c>
      <c r="M911">
        <f>IF(AND(H911=1,I911&lt;='OS-DORAEN'!$B$6,J911&lt;='OS-DORAEN'!$B$5,L911=1),1,0)</f>
        <v>1</v>
      </c>
      <c r="N911" t="str">
        <f t="shared" si="14"/>
        <v>R/X</v>
      </c>
    </row>
    <row r="912" spans="1:14" ht="15" customHeight="1" x14ac:dyDescent="0.35">
      <c r="A912">
        <v>79</v>
      </c>
      <c r="B912">
        <v>25</v>
      </c>
      <c r="C912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Master'!$F:$F,B912),"")</f>
        <v>96</v>
      </c>
      <c r="D912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Master'!$F:$F,B912),"")</f>
        <v>1.54</v>
      </c>
      <c r="E912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Master'!$F:$F,B912),"")</f>
        <v>1.54</v>
      </c>
      <c r="F912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Master'!$F:$F,B912),"")</f>
        <v>0.08</v>
      </c>
      <c r="G912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Master'!$F:$F,B912),"")</f>
        <v>143</v>
      </c>
      <c r="H912">
        <f>IF(AND(ISNUMBER(C912),C912&gt;='Bulk Calculator'!U79/('Bulk Calculator'!J79*'Bulk Calculator'!L79)),1,0)</f>
        <v>1</v>
      </c>
      <c r="I912">
        <f>IFERROR(IF(AND(ISNUMBER(E912),ISNUMBER(F912),E912&gt;0,F912&gt;0),SQRT(3)*'Bulk Calculator'!O79*'Bulk Calculator'!AA79*((E912*'Bulk Calculator'!Q79)+(F912*SQRT(1-'Bulk Calculator'!Q79^2)))/'Bulk Calculator'!J79/'Bulk Calculator'!K79*100,D912*'Bulk Calculator'!AA79*'Bulk Calculator'!O79/'Bulk Calculator'!J79/'Bulk Calculator'!K79*100),"")</f>
        <v>0</v>
      </c>
      <c r="J912">
        <f>IFERROR(IF(AND(ISNUMBER(E912),ISNUMBER(F912),E912&gt;0,F912&gt;0),SQRT(3)*'Bulk Calculator'!O79*'Bulk Calculator'!U79*((E912*'Bulk Calculator'!M79)+(F912*SQRT(1-'Bulk Calculator'!M79^2)))/'Bulk Calculator'!J79/'Bulk Calculator'!K79*100,D912*'Bulk Calculator'!U79*'Bulk Calculator'!O79/'Bulk Calculator'!J79/'Bulk Calculator'!K79*100),"")</f>
        <v>0</v>
      </c>
      <c r="K912">
        <f>IFERROR(G912*B912*'Bulk Calculator'!J79/SQRT('Bulk Calculator'!S79)/1000,"")</f>
        <v>7.9939430195617485</v>
      </c>
      <c r="L912">
        <f>IF(OR('Bulk Calculator'!R79="",'Bulk Calculator'!S79="",G912=""),0,IF(K912&gt;='Bulk Calculator'!R79,1,0))</f>
        <v>1</v>
      </c>
      <c r="M912">
        <f>IF(AND(H912=1,I912&lt;='OS-DORAEN'!$B$6,J912&lt;='OS-DORAEN'!$B$5,L912=1),1,0)</f>
        <v>1</v>
      </c>
      <c r="N912" t="str">
        <f t="shared" si="14"/>
        <v>R/X</v>
      </c>
    </row>
    <row r="913" spans="1:14" ht="15" customHeight="1" x14ac:dyDescent="0.35">
      <c r="A913">
        <v>79</v>
      </c>
      <c r="B913">
        <v>16</v>
      </c>
      <c r="C913">
        <f>IFERROR(SUMIFS('Cable Data Master'!$G:$G,'Cable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Master'!$F:$F,B913),"")</f>
        <v>0</v>
      </c>
      <c r="D913">
        <f>IFERROR(SUMIFS('Cable Data Master'!$K:$K,'Cable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Master'!$F:$F,B913),"")</f>
        <v>0</v>
      </c>
      <c r="E913">
        <f>IFERROR(SUMIFS('Cable Data Master'!$H:$H,'Cable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Master'!$F:$F,B913),"")</f>
        <v>0</v>
      </c>
      <c r="F913">
        <f>IFERROR(SUMIFS('Cable Data Master'!$I:$I,'Cable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Master'!$F:$F,B913),"")</f>
        <v>0</v>
      </c>
      <c r="G913">
        <f>IFERROR(SUMIFS('Cable Data Master'!$J:$J,'Cable Data Master'!$A:$A,'Bulk Calculator'!$BF79,'Cable Data Master'!$B:$B,'Bulk Calculator'!$BG79,'Cable Data Master'!$C:$C,'Bulk Calculator'!$BH79,'Cable Data Master'!$D:$D,'Bulk Calculator'!$BI79,'Cable Data Master'!$E:$E,'Bulk Calculator'!$BJ79,'Cable Data Master'!$F:$F,B913),"")</f>
        <v>0</v>
      </c>
      <c r="H913">
        <f>IF(AND(ISNUMBER(C913),C913&gt;='Bulk Calculator'!U79/('Bulk Calculator'!J79*'Bulk Calculator'!L79)),1,0)</f>
        <v>1</v>
      </c>
      <c r="I913">
        <f>IFERROR(IF(AND(ISNUMBER(E913),ISNUMBER(F913),E913&gt;0,F913&gt;0),SQRT(3)*'Bulk Calculator'!O79*'Bulk Calculator'!AA79*((E913*'Bulk Calculator'!Q79)+(F913*SQRT(1-'Bulk Calculator'!Q79^2)))/'Bulk Calculator'!J79/'Bulk Calculator'!K79*100,D913*'Bulk Calculator'!AA79*'Bulk Calculator'!O79/'Bulk Calculator'!J79/'Bulk Calculator'!K79*100),"")</f>
        <v>0</v>
      </c>
      <c r="J913">
        <f>IFERROR(IF(AND(ISNUMBER(E913),ISNUMBER(F913),E913&gt;0,F913&gt;0),SQRT(3)*'Bulk Calculator'!O79*'Bulk Calculator'!U79*((E913*'Bulk Calculator'!M79)+(F913*SQRT(1-'Bulk Calculator'!M79^2)))/'Bulk Calculator'!J79/'Bulk Calculator'!K79*100,D913*'Bulk Calculator'!U79*'Bulk Calculator'!O79/'Bulk Calculator'!J79/'Bulk Calculator'!K79*100),"")</f>
        <v>0</v>
      </c>
      <c r="K913">
        <f>IFERROR(G913*B913*'Bulk Calculator'!J79/SQRT('Bulk Calculator'!S79)/1000,"")</f>
        <v>0</v>
      </c>
      <c r="L913">
        <f>IF(OR('Bulk Calculator'!R79="",'Bulk Calculator'!S79="",G913=""),0,IF(K913&gt;='Bulk Calculator'!R79,1,0))</f>
        <v>1</v>
      </c>
      <c r="M913">
        <f>IF(AND(H913=1,I913&lt;='OS-DORAEN'!$B$6,J913&lt;='OS-DORAEN'!$B$5,L913=1),1,0)</f>
        <v>1</v>
      </c>
      <c r="N913" t="str">
        <f t="shared" si="14"/>
        <v>Manufacturer VD Ref</v>
      </c>
    </row>
    <row r="914" spans="1:14" ht="15" customHeight="1" x14ac:dyDescent="0.35">
      <c r="A914">
        <v>80</v>
      </c>
      <c r="B914">
        <v>400</v>
      </c>
      <c r="C914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Master'!$F:$F,B914),"")</f>
        <v>530</v>
      </c>
      <c r="D914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Master'!$F:$F,B914),"")</f>
        <v>0.1023</v>
      </c>
      <c r="E914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Master'!$F:$F,B914),"")</f>
        <v>0.1023</v>
      </c>
      <c r="F914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Master'!$F:$F,B914),"")</f>
        <v>7.0000000000000007E-2</v>
      </c>
      <c r="G914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Master'!$F:$F,B914),"")</f>
        <v>143</v>
      </c>
      <c r="H914">
        <f>IF(AND(ISNUMBER(C914),C914&gt;='Bulk Calculator'!U80/('Bulk Calculator'!J80*'Bulk Calculator'!L80)),1,0)</f>
        <v>1</v>
      </c>
      <c r="I914">
        <f>IFERROR(IF(AND(ISNUMBER(E914),ISNUMBER(F914),E914&gt;0,F914&gt;0),SQRT(3)*'Bulk Calculator'!O80*'Bulk Calculator'!AA80*((E914*'Bulk Calculator'!Q80)+(F914*SQRT(1-'Bulk Calculator'!Q80^2)))/'Bulk Calculator'!J80/'Bulk Calculator'!K80*100,D914*'Bulk Calculator'!AA80*'Bulk Calculator'!O80/'Bulk Calculator'!J80/'Bulk Calculator'!K80*100),"")</f>
        <v>0</v>
      </c>
      <c r="J914">
        <f>IFERROR(IF(AND(ISNUMBER(E914),ISNUMBER(F914),E914&gt;0,F914&gt;0),SQRT(3)*'Bulk Calculator'!O80*'Bulk Calculator'!U80*((E914*'Bulk Calculator'!M80)+(F914*SQRT(1-'Bulk Calculator'!M80^2)))/'Bulk Calculator'!J80/'Bulk Calculator'!K80*100,D914*'Bulk Calculator'!U80*'Bulk Calculator'!O80/'Bulk Calculator'!J80/'Bulk Calculator'!K80*100),"")</f>
        <v>0</v>
      </c>
      <c r="K914">
        <f>IFERROR(G914*B914*'Bulk Calculator'!J80/SQRT('Bulk Calculator'!S80)/1000,"")</f>
        <v>127.90308831298798</v>
      </c>
      <c r="L914">
        <f>IF(OR('Bulk Calculator'!R80="",'Bulk Calculator'!S80="",G914=""),0,IF(K914&gt;='Bulk Calculator'!R80,1,0))</f>
        <v>1</v>
      </c>
      <c r="M914">
        <f>IF(AND(H914=1,I914&lt;='OS-DORAEN'!$B$6,J914&lt;='OS-DORAEN'!$B$5,L914=1),1,0)</f>
        <v>1</v>
      </c>
      <c r="N914" t="str">
        <f t="shared" si="14"/>
        <v>R/X</v>
      </c>
    </row>
    <row r="915" spans="1:14" ht="15" customHeight="1" x14ac:dyDescent="0.35">
      <c r="A915">
        <v>80</v>
      </c>
      <c r="B915">
        <v>300</v>
      </c>
      <c r="C915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Master'!$F:$F,B915),"")</f>
        <v>455</v>
      </c>
      <c r="D915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Master'!$F:$F,B915),"")</f>
        <v>0.13</v>
      </c>
      <c r="E915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Master'!$F:$F,B915),"")</f>
        <v>0.13</v>
      </c>
      <c r="F915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Master'!$F:$F,B915),"")</f>
        <v>7.0999999999999994E-2</v>
      </c>
      <c r="G915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Master'!$F:$F,B915),"")</f>
        <v>143</v>
      </c>
      <c r="H915">
        <f>IF(AND(ISNUMBER(C915),C915&gt;='Bulk Calculator'!U80/('Bulk Calculator'!J80*'Bulk Calculator'!L80)),1,0)</f>
        <v>1</v>
      </c>
      <c r="I915">
        <f>IFERROR(IF(AND(ISNUMBER(E915),ISNUMBER(F915),E915&gt;0,F915&gt;0),SQRT(3)*'Bulk Calculator'!O80*'Bulk Calculator'!AA80*((E915*'Bulk Calculator'!Q80)+(F915*SQRT(1-'Bulk Calculator'!Q80^2)))/'Bulk Calculator'!J80/'Bulk Calculator'!K80*100,D915*'Bulk Calculator'!AA80*'Bulk Calculator'!O80/'Bulk Calculator'!J80/'Bulk Calculator'!K80*100),"")</f>
        <v>0</v>
      </c>
      <c r="J915">
        <f>IFERROR(IF(AND(ISNUMBER(E915),ISNUMBER(F915),E915&gt;0,F915&gt;0),SQRT(3)*'Bulk Calculator'!O80*'Bulk Calculator'!U80*((E915*'Bulk Calculator'!M80)+(F915*SQRT(1-'Bulk Calculator'!M80^2)))/'Bulk Calculator'!J80/'Bulk Calculator'!K80*100,D915*'Bulk Calculator'!U80*'Bulk Calculator'!O80/'Bulk Calculator'!J80/'Bulk Calculator'!K80*100),"")</f>
        <v>0</v>
      </c>
      <c r="K915">
        <f>IFERROR(G915*B915*'Bulk Calculator'!J80/SQRT('Bulk Calculator'!S80)/1000,"")</f>
        <v>95.927316234740985</v>
      </c>
      <c r="L915">
        <f>IF(OR('Bulk Calculator'!R80="",'Bulk Calculator'!S80="",G915=""),0,IF(K915&gt;='Bulk Calculator'!R80,1,0))</f>
        <v>1</v>
      </c>
      <c r="M915">
        <f>IF(AND(H915=1,I915&lt;='OS-DORAEN'!$B$6,J915&lt;='OS-DORAEN'!$B$5,L915=1),1,0)</f>
        <v>1</v>
      </c>
      <c r="N915" t="str">
        <f t="shared" si="14"/>
        <v>R/X</v>
      </c>
    </row>
    <row r="916" spans="1:14" ht="15" customHeight="1" x14ac:dyDescent="0.35">
      <c r="A916">
        <v>80</v>
      </c>
      <c r="B916">
        <v>240</v>
      </c>
      <c r="C916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Master'!$F:$F,B916),"")</f>
        <v>399</v>
      </c>
      <c r="D916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Master'!$F:$F,B916),"")</f>
        <v>0.16200000000000001</v>
      </c>
      <c r="E916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Master'!$F:$F,B916),"")</f>
        <v>0.16200000000000001</v>
      </c>
      <c r="F916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Master'!$F:$F,B916),"")</f>
        <v>7.1999999999999995E-2</v>
      </c>
      <c r="G916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Master'!$F:$F,B916),"")</f>
        <v>143</v>
      </c>
      <c r="H916">
        <f>IF(AND(ISNUMBER(C916),C916&gt;='Bulk Calculator'!U80/('Bulk Calculator'!J80*'Bulk Calculator'!L80)),1,0)</f>
        <v>1</v>
      </c>
      <c r="I916">
        <f>IFERROR(IF(AND(ISNUMBER(E916),ISNUMBER(F916),E916&gt;0,F916&gt;0),SQRT(3)*'Bulk Calculator'!O80*'Bulk Calculator'!AA80*((E916*'Bulk Calculator'!Q80)+(F916*SQRT(1-'Bulk Calculator'!Q80^2)))/'Bulk Calculator'!J80/'Bulk Calculator'!K80*100,D916*'Bulk Calculator'!AA80*'Bulk Calculator'!O80/'Bulk Calculator'!J80/'Bulk Calculator'!K80*100),"")</f>
        <v>0</v>
      </c>
      <c r="J916">
        <f>IFERROR(IF(AND(ISNUMBER(E916),ISNUMBER(F916),E916&gt;0,F916&gt;0),SQRT(3)*'Bulk Calculator'!O80*'Bulk Calculator'!U80*((E916*'Bulk Calculator'!M80)+(F916*SQRT(1-'Bulk Calculator'!M80^2)))/'Bulk Calculator'!J80/'Bulk Calculator'!K80*100,D916*'Bulk Calculator'!U80*'Bulk Calculator'!O80/'Bulk Calculator'!J80/'Bulk Calculator'!K80*100),"")</f>
        <v>0</v>
      </c>
      <c r="K916">
        <f>IFERROR(G916*B916*'Bulk Calculator'!J80/SQRT('Bulk Calculator'!S80)/1000,"")</f>
        <v>76.741852987792782</v>
      </c>
      <c r="L916">
        <f>IF(OR('Bulk Calculator'!R80="",'Bulk Calculator'!S80="",G916=""),0,IF(K916&gt;='Bulk Calculator'!R80,1,0))</f>
        <v>1</v>
      </c>
      <c r="M916">
        <f>IF(AND(H916=1,I916&lt;='OS-DORAEN'!$B$6,J916&lt;='OS-DORAEN'!$B$5,L916=1),1,0)</f>
        <v>1</v>
      </c>
      <c r="N916" t="str">
        <f t="shared" si="14"/>
        <v>R/X</v>
      </c>
    </row>
    <row r="917" spans="1:14" ht="15" customHeight="1" x14ac:dyDescent="0.35">
      <c r="A917">
        <v>80</v>
      </c>
      <c r="B917">
        <v>185</v>
      </c>
      <c r="C917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Master'!$F:$F,B917),"")</f>
        <v>337</v>
      </c>
      <c r="D917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Master'!$F:$F,B917),"")</f>
        <v>0.21099999999999999</v>
      </c>
      <c r="E917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Master'!$F:$F,B917),"")</f>
        <v>0.21099999999999999</v>
      </c>
      <c r="F917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Master'!$F:$F,B917),"")</f>
        <v>7.1999999999999995E-2</v>
      </c>
      <c r="G917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Master'!$F:$F,B917),"")</f>
        <v>143</v>
      </c>
      <c r="H917">
        <f>IF(AND(ISNUMBER(C917),C917&gt;='Bulk Calculator'!U80/('Bulk Calculator'!J80*'Bulk Calculator'!L80)),1,0)</f>
        <v>1</v>
      </c>
      <c r="I917">
        <f>IFERROR(IF(AND(ISNUMBER(E917),ISNUMBER(F917),E917&gt;0,F917&gt;0),SQRT(3)*'Bulk Calculator'!O80*'Bulk Calculator'!AA80*((E917*'Bulk Calculator'!Q80)+(F917*SQRT(1-'Bulk Calculator'!Q80^2)))/'Bulk Calculator'!J80/'Bulk Calculator'!K80*100,D917*'Bulk Calculator'!AA80*'Bulk Calculator'!O80/'Bulk Calculator'!J80/'Bulk Calculator'!K80*100),"")</f>
        <v>0</v>
      </c>
      <c r="J917">
        <f>IFERROR(IF(AND(ISNUMBER(E917),ISNUMBER(F917),E917&gt;0,F917&gt;0),SQRT(3)*'Bulk Calculator'!O80*'Bulk Calculator'!U80*((E917*'Bulk Calculator'!M80)+(F917*SQRT(1-'Bulk Calculator'!M80^2)))/'Bulk Calculator'!J80/'Bulk Calculator'!K80*100,D917*'Bulk Calculator'!U80*'Bulk Calculator'!O80/'Bulk Calculator'!J80/'Bulk Calculator'!K80*100),"")</f>
        <v>0</v>
      </c>
      <c r="K917">
        <f>IFERROR(G917*B917*'Bulk Calculator'!J80/SQRT('Bulk Calculator'!S80)/1000,"")</f>
        <v>59.155178344756941</v>
      </c>
      <c r="L917">
        <f>IF(OR('Bulk Calculator'!R80="",'Bulk Calculator'!S80="",G917=""),0,IF(K917&gt;='Bulk Calculator'!R80,1,0))</f>
        <v>1</v>
      </c>
      <c r="M917">
        <f>IF(AND(H917=1,I917&lt;='OS-DORAEN'!$B$6,J917&lt;='OS-DORAEN'!$B$5,L917=1),1,0)</f>
        <v>1</v>
      </c>
      <c r="N917" t="str">
        <f t="shared" si="14"/>
        <v>R/X</v>
      </c>
    </row>
    <row r="918" spans="1:14" ht="15" customHeight="1" x14ac:dyDescent="0.35">
      <c r="A918">
        <v>80</v>
      </c>
      <c r="B918">
        <v>150</v>
      </c>
      <c r="C918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Master'!$F:$F,B918),"")</f>
        <v>292</v>
      </c>
      <c r="D918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Master'!$F:$F,B918),"")</f>
        <v>0.26500000000000001</v>
      </c>
      <c r="E918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Master'!$F:$F,B918),"")</f>
        <v>0.26500000000000001</v>
      </c>
      <c r="F918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Master'!$F:$F,B918),"")</f>
        <v>7.1999999999999995E-2</v>
      </c>
      <c r="G918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Master'!$F:$F,B918),"")</f>
        <v>143</v>
      </c>
      <c r="H918">
        <f>IF(AND(ISNUMBER(C918),C918&gt;='Bulk Calculator'!U80/('Bulk Calculator'!J80*'Bulk Calculator'!L80)),1,0)</f>
        <v>1</v>
      </c>
      <c r="I918">
        <f>IFERROR(IF(AND(ISNUMBER(E918),ISNUMBER(F918),E918&gt;0,F918&gt;0),SQRT(3)*'Bulk Calculator'!O80*'Bulk Calculator'!AA80*((E918*'Bulk Calculator'!Q80)+(F918*SQRT(1-'Bulk Calculator'!Q80^2)))/'Bulk Calculator'!J80/'Bulk Calculator'!K80*100,D918*'Bulk Calculator'!AA80*'Bulk Calculator'!O80/'Bulk Calculator'!J80/'Bulk Calculator'!K80*100),"")</f>
        <v>0</v>
      </c>
      <c r="J918">
        <f>IFERROR(IF(AND(ISNUMBER(E918),ISNUMBER(F918),E918&gt;0,F918&gt;0),SQRT(3)*'Bulk Calculator'!O80*'Bulk Calculator'!U80*((E918*'Bulk Calculator'!M80)+(F918*SQRT(1-'Bulk Calculator'!M80^2)))/'Bulk Calculator'!J80/'Bulk Calculator'!K80*100,D918*'Bulk Calculator'!U80*'Bulk Calculator'!O80/'Bulk Calculator'!J80/'Bulk Calculator'!K80*100),"")</f>
        <v>0</v>
      </c>
      <c r="K918">
        <f>IFERROR(G918*B918*'Bulk Calculator'!J80/SQRT('Bulk Calculator'!S80)/1000,"")</f>
        <v>47.963658117370493</v>
      </c>
      <c r="L918">
        <f>IF(OR('Bulk Calculator'!R80="",'Bulk Calculator'!S80="",G918=""),0,IF(K918&gt;='Bulk Calculator'!R80,1,0))</f>
        <v>1</v>
      </c>
      <c r="M918">
        <f>IF(AND(H918=1,I918&lt;='OS-DORAEN'!$B$6,J918&lt;='OS-DORAEN'!$B$5,L918=1),1,0)</f>
        <v>1</v>
      </c>
      <c r="N918" t="str">
        <f t="shared" si="14"/>
        <v>R/X</v>
      </c>
    </row>
    <row r="919" spans="1:14" ht="15" customHeight="1" x14ac:dyDescent="0.35">
      <c r="A919">
        <v>80</v>
      </c>
      <c r="B919">
        <v>120</v>
      </c>
      <c r="C919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Master'!$F:$F,B919),"")</f>
        <v>257</v>
      </c>
      <c r="D919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Master'!$F:$F,B919),"")</f>
        <v>0.32500000000000001</v>
      </c>
      <c r="E919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Master'!$F:$F,B919),"")</f>
        <v>0.32500000000000001</v>
      </c>
      <c r="F919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Master'!$F:$F,B919),"")</f>
        <v>7.1999999999999995E-2</v>
      </c>
      <c r="G919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Master'!$F:$F,B919),"")</f>
        <v>143</v>
      </c>
      <c r="H919">
        <f>IF(AND(ISNUMBER(C919),C919&gt;='Bulk Calculator'!U80/('Bulk Calculator'!J80*'Bulk Calculator'!L80)),1,0)</f>
        <v>1</v>
      </c>
      <c r="I919">
        <f>IFERROR(IF(AND(ISNUMBER(E919),ISNUMBER(F919),E919&gt;0,F919&gt;0),SQRT(3)*'Bulk Calculator'!O80*'Bulk Calculator'!AA80*((E919*'Bulk Calculator'!Q80)+(F919*SQRT(1-'Bulk Calculator'!Q80^2)))/'Bulk Calculator'!J80/'Bulk Calculator'!K80*100,D919*'Bulk Calculator'!AA80*'Bulk Calculator'!O80/'Bulk Calculator'!J80/'Bulk Calculator'!K80*100),"")</f>
        <v>0</v>
      </c>
      <c r="J919">
        <f>IFERROR(IF(AND(ISNUMBER(E919),ISNUMBER(F919),E919&gt;0,F919&gt;0),SQRT(3)*'Bulk Calculator'!O80*'Bulk Calculator'!U80*((E919*'Bulk Calculator'!M80)+(F919*SQRT(1-'Bulk Calculator'!M80^2)))/'Bulk Calculator'!J80/'Bulk Calculator'!K80*100,D919*'Bulk Calculator'!U80*'Bulk Calculator'!O80/'Bulk Calculator'!J80/'Bulk Calculator'!K80*100),"")</f>
        <v>0</v>
      </c>
      <c r="K919">
        <f>IFERROR(G919*B919*'Bulk Calculator'!J80/SQRT('Bulk Calculator'!S80)/1000,"")</f>
        <v>38.370926493896391</v>
      </c>
      <c r="L919">
        <f>IF(OR('Bulk Calculator'!R80="",'Bulk Calculator'!S80="",G919=""),0,IF(K919&gt;='Bulk Calculator'!R80,1,0))</f>
        <v>1</v>
      </c>
      <c r="M919">
        <f>IF(AND(H919=1,I919&lt;='OS-DORAEN'!$B$6,J919&lt;='OS-DORAEN'!$B$5,L919=1),1,0)</f>
        <v>1</v>
      </c>
      <c r="N919" t="str">
        <f t="shared" si="14"/>
        <v>R/X</v>
      </c>
    </row>
    <row r="920" spans="1:14" ht="15" customHeight="1" x14ac:dyDescent="0.35">
      <c r="A920">
        <v>80</v>
      </c>
      <c r="B920">
        <v>95</v>
      </c>
      <c r="C920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Master'!$F:$F,B920),"")</f>
        <v>221</v>
      </c>
      <c r="D920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Master'!$F:$F,B920),"")</f>
        <v>0.41</v>
      </c>
      <c r="E920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Master'!$F:$F,B920),"")</f>
        <v>0.41</v>
      </c>
      <c r="F920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Master'!$F:$F,B920),"")</f>
        <v>7.3999999999999996E-2</v>
      </c>
      <c r="G920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Master'!$F:$F,B920),"")</f>
        <v>143</v>
      </c>
      <c r="H920">
        <f>IF(AND(ISNUMBER(C920),C920&gt;='Bulk Calculator'!U80/('Bulk Calculator'!J80*'Bulk Calculator'!L80)),1,0)</f>
        <v>1</v>
      </c>
      <c r="I920">
        <f>IFERROR(IF(AND(ISNUMBER(E920),ISNUMBER(F920),E920&gt;0,F920&gt;0),SQRT(3)*'Bulk Calculator'!O80*'Bulk Calculator'!AA80*((E920*'Bulk Calculator'!Q80)+(F920*SQRT(1-'Bulk Calculator'!Q80^2)))/'Bulk Calculator'!J80/'Bulk Calculator'!K80*100,D920*'Bulk Calculator'!AA80*'Bulk Calculator'!O80/'Bulk Calculator'!J80/'Bulk Calculator'!K80*100),"")</f>
        <v>0</v>
      </c>
      <c r="J920">
        <f>IFERROR(IF(AND(ISNUMBER(E920),ISNUMBER(F920),E920&gt;0,F920&gt;0),SQRT(3)*'Bulk Calculator'!O80*'Bulk Calculator'!U80*((E920*'Bulk Calculator'!M80)+(F920*SQRT(1-'Bulk Calculator'!M80^2)))/'Bulk Calculator'!J80/'Bulk Calculator'!K80*100,D920*'Bulk Calculator'!U80*'Bulk Calculator'!O80/'Bulk Calculator'!J80/'Bulk Calculator'!K80*100),"")</f>
        <v>0</v>
      </c>
      <c r="K920">
        <f>IFERROR(G920*B920*'Bulk Calculator'!J80/SQRT('Bulk Calculator'!S80)/1000,"")</f>
        <v>30.376983474334644</v>
      </c>
      <c r="L920">
        <f>IF(OR('Bulk Calculator'!R80="",'Bulk Calculator'!S80="",G920=""),0,IF(K920&gt;='Bulk Calculator'!R80,1,0))</f>
        <v>1</v>
      </c>
      <c r="M920">
        <f>IF(AND(H920=1,I920&lt;='OS-DORAEN'!$B$6,J920&lt;='OS-DORAEN'!$B$5,L920=1),1,0)</f>
        <v>1</v>
      </c>
      <c r="N920" t="str">
        <f t="shared" si="14"/>
        <v>R/X</v>
      </c>
    </row>
    <row r="921" spans="1:14" ht="15" customHeight="1" x14ac:dyDescent="0.35">
      <c r="A921">
        <v>80</v>
      </c>
      <c r="B921">
        <v>70</v>
      </c>
      <c r="C921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Master'!$F:$F,B921),"")</f>
        <v>179</v>
      </c>
      <c r="D921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Master'!$F:$F,B921),"")</f>
        <v>0.56699999999999995</v>
      </c>
      <c r="E921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Master'!$F:$F,B921),"")</f>
        <v>0.56699999999999995</v>
      </c>
      <c r="F921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Master'!$F:$F,B921),"")</f>
        <v>7.6999999999999999E-2</v>
      </c>
      <c r="G921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Master'!$F:$F,B921),"")</f>
        <v>143</v>
      </c>
      <c r="H921">
        <f>IF(AND(ISNUMBER(C921),C921&gt;='Bulk Calculator'!U80/('Bulk Calculator'!J80*'Bulk Calculator'!L80)),1,0)</f>
        <v>1</v>
      </c>
      <c r="I921">
        <f>IFERROR(IF(AND(ISNUMBER(E921),ISNUMBER(F921),E921&gt;0,F921&gt;0),SQRT(3)*'Bulk Calculator'!O80*'Bulk Calculator'!AA80*((E921*'Bulk Calculator'!Q80)+(F921*SQRT(1-'Bulk Calculator'!Q80^2)))/'Bulk Calculator'!J80/'Bulk Calculator'!K80*100,D921*'Bulk Calculator'!AA80*'Bulk Calculator'!O80/'Bulk Calculator'!J80/'Bulk Calculator'!K80*100),"")</f>
        <v>0</v>
      </c>
      <c r="J921">
        <f>IFERROR(IF(AND(ISNUMBER(E921),ISNUMBER(F921),E921&gt;0,F921&gt;0),SQRT(3)*'Bulk Calculator'!O80*'Bulk Calculator'!U80*((E921*'Bulk Calculator'!M80)+(F921*SQRT(1-'Bulk Calculator'!M80^2)))/'Bulk Calculator'!J80/'Bulk Calculator'!K80*100,D921*'Bulk Calculator'!U80*'Bulk Calculator'!O80/'Bulk Calculator'!J80/'Bulk Calculator'!K80*100),"")</f>
        <v>0</v>
      </c>
      <c r="K921">
        <f>IFERROR(G921*B921*'Bulk Calculator'!J80/SQRT('Bulk Calculator'!S80)/1000,"")</f>
        <v>22.383040454772893</v>
      </c>
      <c r="L921">
        <f>IF(OR('Bulk Calculator'!R80="",'Bulk Calculator'!S80="",G921=""),0,IF(K921&gt;='Bulk Calculator'!R80,1,0))</f>
        <v>1</v>
      </c>
      <c r="M921">
        <f>IF(AND(H921=1,I921&lt;='OS-DORAEN'!$B$6,J921&lt;='OS-DORAEN'!$B$5,L921=1),1,0)</f>
        <v>1</v>
      </c>
      <c r="N921" t="str">
        <f t="shared" si="14"/>
        <v>R/X</v>
      </c>
    </row>
    <row r="922" spans="1:14" ht="15" customHeight="1" x14ac:dyDescent="0.35">
      <c r="A922">
        <v>80</v>
      </c>
      <c r="B922">
        <v>50</v>
      </c>
      <c r="C922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Master'!$F:$F,B922),"")</f>
        <v>142</v>
      </c>
      <c r="D922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Master'!$F:$F,B922),"")</f>
        <v>0.82</v>
      </c>
      <c r="E922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Master'!$F:$F,B922),"")</f>
        <v>0.82</v>
      </c>
      <c r="F922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Master'!$F:$F,B922),"")</f>
        <v>7.8E-2</v>
      </c>
      <c r="G922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Master'!$F:$F,B922),"")</f>
        <v>143</v>
      </c>
      <c r="H922">
        <f>IF(AND(ISNUMBER(C922),C922&gt;='Bulk Calculator'!U80/('Bulk Calculator'!J80*'Bulk Calculator'!L80)),1,0)</f>
        <v>1</v>
      </c>
      <c r="I922">
        <f>IFERROR(IF(AND(ISNUMBER(E922),ISNUMBER(F922),E922&gt;0,F922&gt;0),SQRT(3)*'Bulk Calculator'!O80*'Bulk Calculator'!AA80*((E922*'Bulk Calculator'!Q80)+(F922*SQRT(1-'Bulk Calculator'!Q80^2)))/'Bulk Calculator'!J80/'Bulk Calculator'!K80*100,D922*'Bulk Calculator'!AA80*'Bulk Calculator'!O80/'Bulk Calculator'!J80/'Bulk Calculator'!K80*100),"")</f>
        <v>0</v>
      </c>
      <c r="J922">
        <f>IFERROR(IF(AND(ISNUMBER(E922),ISNUMBER(F922),E922&gt;0,F922&gt;0),SQRT(3)*'Bulk Calculator'!O80*'Bulk Calculator'!U80*((E922*'Bulk Calculator'!M80)+(F922*SQRT(1-'Bulk Calculator'!M80^2)))/'Bulk Calculator'!J80/'Bulk Calculator'!K80*100,D922*'Bulk Calculator'!U80*'Bulk Calculator'!O80/'Bulk Calculator'!J80/'Bulk Calculator'!K80*100),"")</f>
        <v>0</v>
      </c>
      <c r="K922">
        <f>IFERROR(G922*B922*'Bulk Calculator'!J80/SQRT('Bulk Calculator'!S80)/1000,"")</f>
        <v>15.987886039123497</v>
      </c>
      <c r="L922">
        <f>IF(OR('Bulk Calculator'!R80="",'Bulk Calculator'!S80="",G922=""),0,IF(K922&gt;='Bulk Calculator'!R80,1,0))</f>
        <v>1</v>
      </c>
      <c r="M922">
        <f>IF(AND(H922=1,I922&lt;='OS-DORAEN'!$B$6,J922&lt;='OS-DORAEN'!$B$5,L922=1),1,0)</f>
        <v>1</v>
      </c>
      <c r="N922" t="str">
        <f t="shared" si="14"/>
        <v>R/X</v>
      </c>
    </row>
    <row r="923" spans="1:14" ht="15" customHeight="1" x14ac:dyDescent="0.35">
      <c r="A923">
        <v>80</v>
      </c>
      <c r="B923">
        <v>35</v>
      </c>
      <c r="C923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Master'!$F:$F,B923),"")</f>
        <v>117</v>
      </c>
      <c r="D923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Master'!$F:$F,B923),"")</f>
        <v>1.1100000000000001</v>
      </c>
      <c r="E923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Master'!$F:$F,B923),"")</f>
        <v>1.1100000000000001</v>
      </c>
      <c r="F923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Master'!$F:$F,B923),"")</f>
        <v>0.08</v>
      </c>
      <c r="G923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Master'!$F:$F,B923),"")</f>
        <v>143</v>
      </c>
      <c r="H923">
        <f>IF(AND(ISNUMBER(C923),C923&gt;='Bulk Calculator'!U80/('Bulk Calculator'!J80*'Bulk Calculator'!L80)),1,0)</f>
        <v>1</v>
      </c>
      <c r="I923">
        <f>IFERROR(IF(AND(ISNUMBER(E923),ISNUMBER(F923),E923&gt;0,F923&gt;0),SQRT(3)*'Bulk Calculator'!O80*'Bulk Calculator'!AA80*((E923*'Bulk Calculator'!Q80)+(F923*SQRT(1-'Bulk Calculator'!Q80^2)))/'Bulk Calculator'!J80/'Bulk Calculator'!K80*100,D923*'Bulk Calculator'!AA80*'Bulk Calculator'!O80/'Bulk Calculator'!J80/'Bulk Calculator'!K80*100),"")</f>
        <v>0</v>
      </c>
      <c r="J923">
        <f>IFERROR(IF(AND(ISNUMBER(E923),ISNUMBER(F923),E923&gt;0,F923&gt;0),SQRT(3)*'Bulk Calculator'!O80*'Bulk Calculator'!U80*((E923*'Bulk Calculator'!M80)+(F923*SQRT(1-'Bulk Calculator'!M80^2)))/'Bulk Calculator'!J80/'Bulk Calculator'!K80*100,D923*'Bulk Calculator'!U80*'Bulk Calculator'!O80/'Bulk Calculator'!J80/'Bulk Calculator'!K80*100),"")</f>
        <v>0</v>
      </c>
      <c r="K923">
        <f>IFERROR(G923*B923*'Bulk Calculator'!J80/SQRT('Bulk Calculator'!S80)/1000,"")</f>
        <v>11.191520227386446</v>
      </c>
      <c r="L923">
        <f>IF(OR('Bulk Calculator'!R80="",'Bulk Calculator'!S80="",G923=""),0,IF(K923&gt;='Bulk Calculator'!R80,1,0))</f>
        <v>1</v>
      </c>
      <c r="M923">
        <f>IF(AND(H923=1,I923&lt;='OS-DORAEN'!$B$6,J923&lt;='OS-DORAEN'!$B$5,L923=1),1,0)</f>
        <v>1</v>
      </c>
      <c r="N923" t="str">
        <f t="shared" si="14"/>
        <v>R/X</v>
      </c>
    </row>
    <row r="924" spans="1:14" ht="15" customHeight="1" x14ac:dyDescent="0.35">
      <c r="A924">
        <v>80</v>
      </c>
      <c r="B924">
        <v>25</v>
      </c>
      <c r="C924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Master'!$F:$F,B924),"")</f>
        <v>96</v>
      </c>
      <c r="D924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Master'!$F:$F,B924),"")</f>
        <v>1.54</v>
      </c>
      <c r="E924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Master'!$F:$F,B924),"")</f>
        <v>1.54</v>
      </c>
      <c r="F924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Master'!$F:$F,B924),"")</f>
        <v>0.08</v>
      </c>
      <c r="G924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Master'!$F:$F,B924),"")</f>
        <v>143</v>
      </c>
      <c r="H924">
        <f>IF(AND(ISNUMBER(C924),C924&gt;='Bulk Calculator'!U80/('Bulk Calculator'!J80*'Bulk Calculator'!L80)),1,0)</f>
        <v>1</v>
      </c>
      <c r="I924">
        <f>IFERROR(IF(AND(ISNUMBER(E924),ISNUMBER(F924),E924&gt;0,F924&gt;0),SQRT(3)*'Bulk Calculator'!O80*'Bulk Calculator'!AA80*((E924*'Bulk Calculator'!Q80)+(F924*SQRT(1-'Bulk Calculator'!Q80^2)))/'Bulk Calculator'!J80/'Bulk Calculator'!K80*100,D924*'Bulk Calculator'!AA80*'Bulk Calculator'!O80/'Bulk Calculator'!J80/'Bulk Calculator'!K80*100),"")</f>
        <v>0</v>
      </c>
      <c r="J924">
        <f>IFERROR(IF(AND(ISNUMBER(E924),ISNUMBER(F924),E924&gt;0,F924&gt;0),SQRT(3)*'Bulk Calculator'!O80*'Bulk Calculator'!U80*((E924*'Bulk Calculator'!M80)+(F924*SQRT(1-'Bulk Calculator'!M80^2)))/'Bulk Calculator'!J80/'Bulk Calculator'!K80*100,D924*'Bulk Calculator'!U80*'Bulk Calculator'!O80/'Bulk Calculator'!J80/'Bulk Calculator'!K80*100),"")</f>
        <v>0</v>
      </c>
      <c r="K924">
        <f>IFERROR(G924*B924*'Bulk Calculator'!J80/SQRT('Bulk Calculator'!S80)/1000,"")</f>
        <v>7.9939430195617485</v>
      </c>
      <c r="L924">
        <f>IF(OR('Bulk Calculator'!R80="",'Bulk Calculator'!S80="",G924=""),0,IF(K924&gt;='Bulk Calculator'!R80,1,0))</f>
        <v>1</v>
      </c>
      <c r="M924">
        <f>IF(AND(H924=1,I924&lt;='OS-DORAEN'!$B$6,J924&lt;='OS-DORAEN'!$B$5,L924=1),1,0)</f>
        <v>1</v>
      </c>
      <c r="N924" t="str">
        <f t="shared" si="14"/>
        <v>R/X</v>
      </c>
    </row>
    <row r="925" spans="1:14" ht="15" customHeight="1" x14ac:dyDescent="0.35">
      <c r="A925">
        <v>80</v>
      </c>
      <c r="B925">
        <v>16</v>
      </c>
      <c r="C925">
        <f>IFERROR(SUMIFS('Cable Data Master'!$G:$G,'Cable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Master'!$F:$F,B925),"")</f>
        <v>0</v>
      </c>
      <c r="D925">
        <f>IFERROR(SUMIFS('Cable Data Master'!$K:$K,'Cable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Master'!$F:$F,B925),"")</f>
        <v>0</v>
      </c>
      <c r="E925">
        <f>IFERROR(SUMIFS('Cable Data Master'!$H:$H,'Cable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Master'!$F:$F,B925),"")</f>
        <v>0</v>
      </c>
      <c r="F925">
        <f>IFERROR(SUMIFS('Cable Data Master'!$I:$I,'Cable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Master'!$F:$F,B925),"")</f>
        <v>0</v>
      </c>
      <c r="G925">
        <f>IFERROR(SUMIFS('Cable Data Master'!$J:$J,'Cable Data Master'!$A:$A,'Bulk Calculator'!$BF80,'Cable Data Master'!$B:$B,'Bulk Calculator'!$BG80,'Cable Data Master'!$C:$C,'Bulk Calculator'!$BH80,'Cable Data Master'!$D:$D,'Bulk Calculator'!$BI80,'Cable Data Master'!$E:$E,'Bulk Calculator'!$BJ80,'Cable Data Master'!$F:$F,B925),"")</f>
        <v>0</v>
      </c>
      <c r="H925">
        <f>IF(AND(ISNUMBER(C925),C925&gt;='Bulk Calculator'!U80/('Bulk Calculator'!J80*'Bulk Calculator'!L80)),1,0)</f>
        <v>1</v>
      </c>
      <c r="I925">
        <f>IFERROR(IF(AND(ISNUMBER(E925),ISNUMBER(F925),E925&gt;0,F925&gt;0),SQRT(3)*'Bulk Calculator'!O80*'Bulk Calculator'!AA80*((E925*'Bulk Calculator'!Q80)+(F925*SQRT(1-'Bulk Calculator'!Q80^2)))/'Bulk Calculator'!J80/'Bulk Calculator'!K80*100,D925*'Bulk Calculator'!AA80*'Bulk Calculator'!O80/'Bulk Calculator'!J80/'Bulk Calculator'!K80*100),"")</f>
        <v>0</v>
      </c>
      <c r="J925">
        <f>IFERROR(IF(AND(ISNUMBER(E925),ISNUMBER(F925),E925&gt;0,F925&gt;0),SQRT(3)*'Bulk Calculator'!O80*'Bulk Calculator'!U80*((E925*'Bulk Calculator'!M80)+(F925*SQRT(1-'Bulk Calculator'!M80^2)))/'Bulk Calculator'!J80/'Bulk Calculator'!K80*100,D925*'Bulk Calculator'!U80*'Bulk Calculator'!O80/'Bulk Calculator'!J80/'Bulk Calculator'!K80*100),"")</f>
        <v>0</v>
      </c>
      <c r="K925">
        <f>IFERROR(G925*B925*'Bulk Calculator'!J80/SQRT('Bulk Calculator'!S80)/1000,"")</f>
        <v>0</v>
      </c>
      <c r="L925">
        <f>IF(OR('Bulk Calculator'!R80="",'Bulk Calculator'!S80="",G925=""),0,IF(K925&gt;='Bulk Calculator'!R80,1,0))</f>
        <v>1</v>
      </c>
      <c r="M925">
        <f>IF(AND(H925=1,I925&lt;='OS-DORAEN'!$B$6,J925&lt;='OS-DORAEN'!$B$5,L925=1),1,0)</f>
        <v>1</v>
      </c>
      <c r="N925" t="str">
        <f t="shared" si="14"/>
        <v>Manufacturer VD Ref</v>
      </c>
    </row>
    <row r="926" spans="1:14" ht="15" customHeight="1" x14ac:dyDescent="0.35">
      <c r="A926">
        <v>81</v>
      </c>
      <c r="B926">
        <v>400</v>
      </c>
      <c r="C926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Master'!$F:$F,B926),"")</f>
        <v>530</v>
      </c>
      <c r="D926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Master'!$F:$F,B926),"")</f>
        <v>0.1023</v>
      </c>
      <c r="E926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Master'!$F:$F,B926),"")</f>
        <v>0.1023</v>
      </c>
      <c r="F926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Master'!$F:$F,B926),"")</f>
        <v>7.0000000000000007E-2</v>
      </c>
      <c r="G926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Master'!$F:$F,B926),"")</f>
        <v>143</v>
      </c>
      <c r="H926">
        <f>IF(AND(ISNUMBER(C926),C926&gt;='Bulk Calculator'!U81/('Bulk Calculator'!J81*'Bulk Calculator'!L81)),1,0)</f>
        <v>1</v>
      </c>
      <c r="I926">
        <f>IFERROR(IF(AND(ISNUMBER(E926),ISNUMBER(F926),E926&gt;0,F926&gt;0),SQRT(3)*'Bulk Calculator'!O81*'Bulk Calculator'!AA81*((E926*'Bulk Calculator'!Q81)+(F926*SQRT(1-'Bulk Calculator'!Q81^2)))/'Bulk Calculator'!J81/'Bulk Calculator'!K81*100,D926*'Bulk Calculator'!AA81*'Bulk Calculator'!O81/'Bulk Calculator'!J81/'Bulk Calculator'!K81*100),"")</f>
        <v>0</v>
      </c>
      <c r="J926">
        <f>IFERROR(IF(AND(ISNUMBER(E926),ISNUMBER(F926),E926&gt;0,F926&gt;0),SQRT(3)*'Bulk Calculator'!O81*'Bulk Calculator'!U81*((E926*'Bulk Calculator'!M81)+(F926*SQRT(1-'Bulk Calculator'!M81^2)))/'Bulk Calculator'!J81/'Bulk Calculator'!K81*100,D926*'Bulk Calculator'!U81*'Bulk Calculator'!O81/'Bulk Calculator'!J81/'Bulk Calculator'!K81*100),"")</f>
        <v>0</v>
      </c>
      <c r="K926">
        <f>IFERROR(G926*B926*'Bulk Calculator'!J81/SQRT('Bulk Calculator'!S81)/1000,"")</f>
        <v>127.90308831298798</v>
      </c>
      <c r="L926">
        <f>IF(OR('Bulk Calculator'!R81="",'Bulk Calculator'!S81="",G926=""),0,IF(K926&gt;='Bulk Calculator'!R81,1,0))</f>
        <v>1</v>
      </c>
      <c r="M926">
        <f>IF(AND(H926=1,I926&lt;='OS-DORAEN'!$B$6,J926&lt;='OS-DORAEN'!$B$5,L926=1),1,0)</f>
        <v>1</v>
      </c>
      <c r="N926" t="str">
        <f t="shared" si="14"/>
        <v>R/X</v>
      </c>
    </row>
    <row r="927" spans="1:14" ht="15" customHeight="1" x14ac:dyDescent="0.35">
      <c r="A927">
        <v>81</v>
      </c>
      <c r="B927">
        <v>300</v>
      </c>
      <c r="C927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Master'!$F:$F,B927),"")</f>
        <v>455</v>
      </c>
      <c r="D927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Master'!$F:$F,B927),"")</f>
        <v>0.13</v>
      </c>
      <c r="E927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Master'!$F:$F,B927),"")</f>
        <v>0.13</v>
      </c>
      <c r="F927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Master'!$F:$F,B927),"")</f>
        <v>7.0999999999999994E-2</v>
      </c>
      <c r="G927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Master'!$F:$F,B927),"")</f>
        <v>143</v>
      </c>
      <c r="H927">
        <f>IF(AND(ISNUMBER(C927),C927&gt;='Bulk Calculator'!U81/('Bulk Calculator'!J81*'Bulk Calculator'!L81)),1,0)</f>
        <v>1</v>
      </c>
      <c r="I927">
        <f>IFERROR(IF(AND(ISNUMBER(E927),ISNUMBER(F927),E927&gt;0,F927&gt;0),SQRT(3)*'Bulk Calculator'!O81*'Bulk Calculator'!AA81*((E927*'Bulk Calculator'!Q81)+(F927*SQRT(1-'Bulk Calculator'!Q81^2)))/'Bulk Calculator'!J81/'Bulk Calculator'!K81*100,D927*'Bulk Calculator'!AA81*'Bulk Calculator'!O81/'Bulk Calculator'!J81/'Bulk Calculator'!K81*100),"")</f>
        <v>0</v>
      </c>
      <c r="J927">
        <f>IFERROR(IF(AND(ISNUMBER(E927),ISNUMBER(F927),E927&gt;0,F927&gt;0),SQRT(3)*'Bulk Calculator'!O81*'Bulk Calculator'!U81*((E927*'Bulk Calculator'!M81)+(F927*SQRT(1-'Bulk Calculator'!M81^2)))/'Bulk Calculator'!J81/'Bulk Calculator'!K81*100,D927*'Bulk Calculator'!U81*'Bulk Calculator'!O81/'Bulk Calculator'!J81/'Bulk Calculator'!K81*100),"")</f>
        <v>0</v>
      </c>
      <c r="K927">
        <f>IFERROR(G927*B927*'Bulk Calculator'!J81/SQRT('Bulk Calculator'!S81)/1000,"")</f>
        <v>95.927316234740985</v>
      </c>
      <c r="L927">
        <f>IF(OR('Bulk Calculator'!R81="",'Bulk Calculator'!S81="",G927=""),0,IF(K927&gt;='Bulk Calculator'!R81,1,0))</f>
        <v>1</v>
      </c>
      <c r="M927">
        <f>IF(AND(H927=1,I927&lt;='OS-DORAEN'!$B$6,J927&lt;='OS-DORAEN'!$B$5,L927=1),1,0)</f>
        <v>1</v>
      </c>
      <c r="N927" t="str">
        <f t="shared" si="14"/>
        <v>R/X</v>
      </c>
    </row>
    <row r="928" spans="1:14" ht="15" customHeight="1" x14ac:dyDescent="0.35">
      <c r="A928">
        <v>81</v>
      </c>
      <c r="B928">
        <v>240</v>
      </c>
      <c r="C928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Master'!$F:$F,B928),"")</f>
        <v>399</v>
      </c>
      <c r="D928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Master'!$F:$F,B928),"")</f>
        <v>0.16200000000000001</v>
      </c>
      <c r="E928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Master'!$F:$F,B928),"")</f>
        <v>0.16200000000000001</v>
      </c>
      <c r="F928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Master'!$F:$F,B928),"")</f>
        <v>7.1999999999999995E-2</v>
      </c>
      <c r="G928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Master'!$F:$F,B928),"")</f>
        <v>143</v>
      </c>
      <c r="H928">
        <f>IF(AND(ISNUMBER(C928),C928&gt;='Bulk Calculator'!U81/('Bulk Calculator'!J81*'Bulk Calculator'!L81)),1,0)</f>
        <v>1</v>
      </c>
      <c r="I928">
        <f>IFERROR(IF(AND(ISNUMBER(E928),ISNUMBER(F928),E928&gt;0,F928&gt;0),SQRT(3)*'Bulk Calculator'!O81*'Bulk Calculator'!AA81*((E928*'Bulk Calculator'!Q81)+(F928*SQRT(1-'Bulk Calculator'!Q81^2)))/'Bulk Calculator'!J81/'Bulk Calculator'!K81*100,D928*'Bulk Calculator'!AA81*'Bulk Calculator'!O81/'Bulk Calculator'!J81/'Bulk Calculator'!K81*100),"")</f>
        <v>0</v>
      </c>
      <c r="J928">
        <f>IFERROR(IF(AND(ISNUMBER(E928),ISNUMBER(F928),E928&gt;0,F928&gt;0),SQRT(3)*'Bulk Calculator'!O81*'Bulk Calculator'!U81*((E928*'Bulk Calculator'!M81)+(F928*SQRT(1-'Bulk Calculator'!M81^2)))/'Bulk Calculator'!J81/'Bulk Calculator'!K81*100,D928*'Bulk Calculator'!U81*'Bulk Calculator'!O81/'Bulk Calculator'!J81/'Bulk Calculator'!K81*100),"")</f>
        <v>0</v>
      </c>
      <c r="K928">
        <f>IFERROR(G928*B928*'Bulk Calculator'!J81/SQRT('Bulk Calculator'!S81)/1000,"")</f>
        <v>76.741852987792782</v>
      </c>
      <c r="L928">
        <f>IF(OR('Bulk Calculator'!R81="",'Bulk Calculator'!S81="",G928=""),0,IF(K928&gt;='Bulk Calculator'!R81,1,0))</f>
        <v>1</v>
      </c>
      <c r="M928">
        <f>IF(AND(H928=1,I928&lt;='OS-DORAEN'!$B$6,J928&lt;='OS-DORAEN'!$B$5,L928=1),1,0)</f>
        <v>1</v>
      </c>
      <c r="N928" t="str">
        <f t="shared" si="14"/>
        <v>R/X</v>
      </c>
    </row>
    <row r="929" spans="1:14" ht="15" customHeight="1" x14ac:dyDescent="0.35">
      <c r="A929">
        <v>81</v>
      </c>
      <c r="B929">
        <v>185</v>
      </c>
      <c r="C929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Master'!$F:$F,B929),"")</f>
        <v>337</v>
      </c>
      <c r="D929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Master'!$F:$F,B929),"")</f>
        <v>0.21099999999999999</v>
      </c>
      <c r="E929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Master'!$F:$F,B929),"")</f>
        <v>0.21099999999999999</v>
      </c>
      <c r="F929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Master'!$F:$F,B929),"")</f>
        <v>7.1999999999999995E-2</v>
      </c>
      <c r="G929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Master'!$F:$F,B929),"")</f>
        <v>143</v>
      </c>
      <c r="H929">
        <f>IF(AND(ISNUMBER(C929),C929&gt;='Bulk Calculator'!U81/('Bulk Calculator'!J81*'Bulk Calculator'!L81)),1,0)</f>
        <v>1</v>
      </c>
      <c r="I929">
        <f>IFERROR(IF(AND(ISNUMBER(E929),ISNUMBER(F929),E929&gt;0,F929&gt;0),SQRT(3)*'Bulk Calculator'!O81*'Bulk Calculator'!AA81*((E929*'Bulk Calculator'!Q81)+(F929*SQRT(1-'Bulk Calculator'!Q81^2)))/'Bulk Calculator'!J81/'Bulk Calculator'!K81*100,D929*'Bulk Calculator'!AA81*'Bulk Calculator'!O81/'Bulk Calculator'!J81/'Bulk Calculator'!K81*100),"")</f>
        <v>0</v>
      </c>
      <c r="J929">
        <f>IFERROR(IF(AND(ISNUMBER(E929),ISNUMBER(F929),E929&gt;0,F929&gt;0),SQRT(3)*'Bulk Calculator'!O81*'Bulk Calculator'!U81*((E929*'Bulk Calculator'!M81)+(F929*SQRT(1-'Bulk Calculator'!M81^2)))/'Bulk Calculator'!J81/'Bulk Calculator'!K81*100,D929*'Bulk Calculator'!U81*'Bulk Calculator'!O81/'Bulk Calculator'!J81/'Bulk Calculator'!K81*100),"")</f>
        <v>0</v>
      </c>
      <c r="K929">
        <f>IFERROR(G929*B929*'Bulk Calculator'!J81/SQRT('Bulk Calculator'!S81)/1000,"")</f>
        <v>59.155178344756941</v>
      </c>
      <c r="L929">
        <f>IF(OR('Bulk Calculator'!R81="",'Bulk Calculator'!S81="",G929=""),0,IF(K929&gt;='Bulk Calculator'!R81,1,0))</f>
        <v>1</v>
      </c>
      <c r="M929">
        <f>IF(AND(H929=1,I929&lt;='OS-DORAEN'!$B$6,J929&lt;='OS-DORAEN'!$B$5,L929=1),1,0)</f>
        <v>1</v>
      </c>
      <c r="N929" t="str">
        <f t="shared" si="14"/>
        <v>R/X</v>
      </c>
    </row>
    <row r="930" spans="1:14" ht="15" customHeight="1" x14ac:dyDescent="0.35">
      <c r="A930">
        <v>81</v>
      </c>
      <c r="B930">
        <v>150</v>
      </c>
      <c r="C930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Master'!$F:$F,B930),"")</f>
        <v>292</v>
      </c>
      <c r="D930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Master'!$F:$F,B930),"")</f>
        <v>0.26500000000000001</v>
      </c>
      <c r="E930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Master'!$F:$F,B930),"")</f>
        <v>0.26500000000000001</v>
      </c>
      <c r="F930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Master'!$F:$F,B930),"")</f>
        <v>7.1999999999999995E-2</v>
      </c>
      <c r="G930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Master'!$F:$F,B930),"")</f>
        <v>143</v>
      </c>
      <c r="H930">
        <f>IF(AND(ISNUMBER(C930),C930&gt;='Bulk Calculator'!U81/('Bulk Calculator'!J81*'Bulk Calculator'!L81)),1,0)</f>
        <v>1</v>
      </c>
      <c r="I930">
        <f>IFERROR(IF(AND(ISNUMBER(E930),ISNUMBER(F930),E930&gt;0,F930&gt;0),SQRT(3)*'Bulk Calculator'!O81*'Bulk Calculator'!AA81*((E930*'Bulk Calculator'!Q81)+(F930*SQRT(1-'Bulk Calculator'!Q81^2)))/'Bulk Calculator'!J81/'Bulk Calculator'!K81*100,D930*'Bulk Calculator'!AA81*'Bulk Calculator'!O81/'Bulk Calculator'!J81/'Bulk Calculator'!K81*100),"")</f>
        <v>0</v>
      </c>
      <c r="J930">
        <f>IFERROR(IF(AND(ISNUMBER(E930),ISNUMBER(F930),E930&gt;0,F930&gt;0),SQRT(3)*'Bulk Calculator'!O81*'Bulk Calculator'!U81*((E930*'Bulk Calculator'!M81)+(F930*SQRT(1-'Bulk Calculator'!M81^2)))/'Bulk Calculator'!J81/'Bulk Calculator'!K81*100,D930*'Bulk Calculator'!U81*'Bulk Calculator'!O81/'Bulk Calculator'!J81/'Bulk Calculator'!K81*100),"")</f>
        <v>0</v>
      </c>
      <c r="K930">
        <f>IFERROR(G930*B930*'Bulk Calculator'!J81/SQRT('Bulk Calculator'!S81)/1000,"")</f>
        <v>47.963658117370493</v>
      </c>
      <c r="L930">
        <f>IF(OR('Bulk Calculator'!R81="",'Bulk Calculator'!S81="",G930=""),0,IF(K930&gt;='Bulk Calculator'!R81,1,0))</f>
        <v>1</v>
      </c>
      <c r="M930">
        <f>IF(AND(H930=1,I930&lt;='OS-DORAEN'!$B$6,J930&lt;='OS-DORAEN'!$B$5,L930=1),1,0)</f>
        <v>1</v>
      </c>
      <c r="N930" t="str">
        <f t="shared" si="14"/>
        <v>R/X</v>
      </c>
    </row>
    <row r="931" spans="1:14" ht="15" customHeight="1" x14ac:dyDescent="0.35">
      <c r="A931">
        <v>81</v>
      </c>
      <c r="B931">
        <v>120</v>
      </c>
      <c r="C931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Master'!$F:$F,B931),"")</f>
        <v>257</v>
      </c>
      <c r="D931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Master'!$F:$F,B931),"")</f>
        <v>0.32500000000000001</v>
      </c>
      <c r="E931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Master'!$F:$F,B931),"")</f>
        <v>0.32500000000000001</v>
      </c>
      <c r="F931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Master'!$F:$F,B931),"")</f>
        <v>7.1999999999999995E-2</v>
      </c>
      <c r="G931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Master'!$F:$F,B931),"")</f>
        <v>143</v>
      </c>
      <c r="H931">
        <f>IF(AND(ISNUMBER(C931),C931&gt;='Bulk Calculator'!U81/('Bulk Calculator'!J81*'Bulk Calculator'!L81)),1,0)</f>
        <v>1</v>
      </c>
      <c r="I931">
        <f>IFERROR(IF(AND(ISNUMBER(E931),ISNUMBER(F931),E931&gt;0,F931&gt;0),SQRT(3)*'Bulk Calculator'!O81*'Bulk Calculator'!AA81*((E931*'Bulk Calculator'!Q81)+(F931*SQRT(1-'Bulk Calculator'!Q81^2)))/'Bulk Calculator'!J81/'Bulk Calculator'!K81*100,D931*'Bulk Calculator'!AA81*'Bulk Calculator'!O81/'Bulk Calculator'!J81/'Bulk Calculator'!K81*100),"")</f>
        <v>0</v>
      </c>
      <c r="J931">
        <f>IFERROR(IF(AND(ISNUMBER(E931),ISNUMBER(F931),E931&gt;0,F931&gt;0),SQRT(3)*'Bulk Calculator'!O81*'Bulk Calculator'!U81*((E931*'Bulk Calculator'!M81)+(F931*SQRT(1-'Bulk Calculator'!M81^2)))/'Bulk Calculator'!J81/'Bulk Calculator'!K81*100,D931*'Bulk Calculator'!U81*'Bulk Calculator'!O81/'Bulk Calculator'!J81/'Bulk Calculator'!K81*100),"")</f>
        <v>0</v>
      </c>
      <c r="K931">
        <f>IFERROR(G931*B931*'Bulk Calculator'!J81/SQRT('Bulk Calculator'!S81)/1000,"")</f>
        <v>38.370926493896391</v>
      </c>
      <c r="L931">
        <f>IF(OR('Bulk Calculator'!R81="",'Bulk Calculator'!S81="",G931=""),0,IF(K931&gt;='Bulk Calculator'!R81,1,0))</f>
        <v>1</v>
      </c>
      <c r="M931">
        <f>IF(AND(H931=1,I931&lt;='OS-DORAEN'!$B$6,J931&lt;='OS-DORAEN'!$B$5,L931=1),1,0)</f>
        <v>1</v>
      </c>
      <c r="N931" t="str">
        <f t="shared" si="14"/>
        <v>R/X</v>
      </c>
    </row>
    <row r="932" spans="1:14" ht="15" customHeight="1" x14ac:dyDescent="0.35">
      <c r="A932">
        <v>81</v>
      </c>
      <c r="B932">
        <v>95</v>
      </c>
      <c r="C932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Master'!$F:$F,B932),"")</f>
        <v>221</v>
      </c>
      <c r="D932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Master'!$F:$F,B932),"")</f>
        <v>0.41</v>
      </c>
      <c r="E932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Master'!$F:$F,B932),"")</f>
        <v>0.41</v>
      </c>
      <c r="F932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Master'!$F:$F,B932),"")</f>
        <v>7.3999999999999996E-2</v>
      </c>
      <c r="G932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Master'!$F:$F,B932),"")</f>
        <v>143</v>
      </c>
      <c r="H932">
        <f>IF(AND(ISNUMBER(C932),C932&gt;='Bulk Calculator'!U81/('Bulk Calculator'!J81*'Bulk Calculator'!L81)),1,0)</f>
        <v>1</v>
      </c>
      <c r="I932">
        <f>IFERROR(IF(AND(ISNUMBER(E932),ISNUMBER(F932),E932&gt;0,F932&gt;0),SQRT(3)*'Bulk Calculator'!O81*'Bulk Calculator'!AA81*((E932*'Bulk Calculator'!Q81)+(F932*SQRT(1-'Bulk Calculator'!Q81^2)))/'Bulk Calculator'!J81/'Bulk Calculator'!K81*100,D932*'Bulk Calculator'!AA81*'Bulk Calculator'!O81/'Bulk Calculator'!J81/'Bulk Calculator'!K81*100),"")</f>
        <v>0</v>
      </c>
      <c r="J932">
        <f>IFERROR(IF(AND(ISNUMBER(E932),ISNUMBER(F932),E932&gt;0,F932&gt;0),SQRT(3)*'Bulk Calculator'!O81*'Bulk Calculator'!U81*((E932*'Bulk Calculator'!M81)+(F932*SQRT(1-'Bulk Calculator'!M81^2)))/'Bulk Calculator'!J81/'Bulk Calculator'!K81*100,D932*'Bulk Calculator'!U81*'Bulk Calculator'!O81/'Bulk Calculator'!J81/'Bulk Calculator'!K81*100),"")</f>
        <v>0</v>
      </c>
      <c r="K932">
        <f>IFERROR(G932*B932*'Bulk Calculator'!J81/SQRT('Bulk Calculator'!S81)/1000,"")</f>
        <v>30.376983474334644</v>
      </c>
      <c r="L932">
        <f>IF(OR('Bulk Calculator'!R81="",'Bulk Calculator'!S81="",G932=""),0,IF(K932&gt;='Bulk Calculator'!R81,1,0))</f>
        <v>1</v>
      </c>
      <c r="M932">
        <f>IF(AND(H932=1,I932&lt;='OS-DORAEN'!$B$6,J932&lt;='OS-DORAEN'!$B$5,L932=1),1,0)</f>
        <v>1</v>
      </c>
      <c r="N932" t="str">
        <f t="shared" si="14"/>
        <v>R/X</v>
      </c>
    </row>
    <row r="933" spans="1:14" ht="15" customHeight="1" x14ac:dyDescent="0.35">
      <c r="A933">
        <v>81</v>
      </c>
      <c r="B933">
        <v>70</v>
      </c>
      <c r="C933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Master'!$F:$F,B933),"")</f>
        <v>179</v>
      </c>
      <c r="D933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Master'!$F:$F,B933),"")</f>
        <v>0.56699999999999995</v>
      </c>
      <c r="E933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Master'!$F:$F,B933),"")</f>
        <v>0.56699999999999995</v>
      </c>
      <c r="F933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Master'!$F:$F,B933),"")</f>
        <v>7.6999999999999999E-2</v>
      </c>
      <c r="G933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Master'!$F:$F,B933),"")</f>
        <v>143</v>
      </c>
      <c r="H933">
        <f>IF(AND(ISNUMBER(C933),C933&gt;='Bulk Calculator'!U81/('Bulk Calculator'!J81*'Bulk Calculator'!L81)),1,0)</f>
        <v>1</v>
      </c>
      <c r="I933">
        <f>IFERROR(IF(AND(ISNUMBER(E933),ISNUMBER(F933),E933&gt;0,F933&gt;0),SQRT(3)*'Bulk Calculator'!O81*'Bulk Calculator'!AA81*((E933*'Bulk Calculator'!Q81)+(F933*SQRT(1-'Bulk Calculator'!Q81^2)))/'Bulk Calculator'!J81/'Bulk Calculator'!K81*100,D933*'Bulk Calculator'!AA81*'Bulk Calculator'!O81/'Bulk Calculator'!J81/'Bulk Calculator'!K81*100),"")</f>
        <v>0</v>
      </c>
      <c r="J933">
        <f>IFERROR(IF(AND(ISNUMBER(E933),ISNUMBER(F933),E933&gt;0,F933&gt;0),SQRT(3)*'Bulk Calculator'!O81*'Bulk Calculator'!U81*((E933*'Bulk Calculator'!M81)+(F933*SQRT(1-'Bulk Calculator'!M81^2)))/'Bulk Calculator'!J81/'Bulk Calculator'!K81*100,D933*'Bulk Calculator'!U81*'Bulk Calculator'!O81/'Bulk Calculator'!J81/'Bulk Calculator'!K81*100),"")</f>
        <v>0</v>
      </c>
      <c r="K933">
        <f>IFERROR(G933*B933*'Bulk Calculator'!J81/SQRT('Bulk Calculator'!S81)/1000,"")</f>
        <v>22.383040454772893</v>
      </c>
      <c r="L933">
        <f>IF(OR('Bulk Calculator'!R81="",'Bulk Calculator'!S81="",G933=""),0,IF(K933&gt;='Bulk Calculator'!R81,1,0))</f>
        <v>1</v>
      </c>
      <c r="M933">
        <f>IF(AND(H933=1,I933&lt;='OS-DORAEN'!$B$6,J933&lt;='OS-DORAEN'!$B$5,L933=1),1,0)</f>
        <v>1</v>
      </c>
      <c r="N933" t="str">
        <f t="shared" si="14"/>
        <v>R/X</v>
      </c>
    </row>
    <row r="934" spans="1:14" ht="15" customHeight="1" x14ac:dyDescent="0.35">
      <c r="A934">
        <v>81</v>
      </c>
      <c r="B934">
        <v>50</v>
      </c>
      <c r="C934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Master'!$F:$F,B934),"")</f>
        <v>142</v>
      </c>
      <c r="D934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Master'!$F:$F,B934),"")</f>
        <v>0.82</v>
      </c>
      <c r="E934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Master'!$F:$F,B934),"")</f>
        <v>0.82</v>
      </c>
      <c r="F934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Master'!$F:$F,B934),"")</f>
        <v>7.8E-2</v>
      </c>
      <c r="G934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Master'!$F:$F,B934),"")</f>
        <v>143</v>
      </c>
      <c r="H934">
        <f>IF(AND(ISNUMBER(C934),C934&gt;='Bulk Calculator'!U81/('Bulk Calculator'!J81*'Bulk Calculator'!L81)),1,0)</f>
        <v>1</v>
      </c>
      <c r="I934">
        <f>IFERROR(IF(AND(ISNUMBER(E934),ISNUMBER(F934),E934&gt;0,F934&gt;0),SQRT(3)*'Bulk Calculator'!O81*'Bulk Calculator'!AA81*((E934*'Bulk Calculator'!Q81)+(F934*SQRT(1-'Bulk Calculator'!Q81^2)))/'Bulk Calculator'!J81/'Bulk Calculator'!K81*100,D934*'Bulk Calculator'!AA81*'Bulk Calculator'!O81/'Bulk Calculator'!J81/'Bulk Calculator'!K81*100),"")</f>
        <v>0</v>
      </c>
      <c r="J934">
        <f>IFERROR(IF(AND(ISNUMBER(E934),ISNUMBER(F934),E934&gt;0,F934&gt;0),SQRT(3)*'Bulk Calculator'!O81*'Bulk Calculator'!U81*((E934*'Bulk Calculator'!M81)+(F934*SQRT(1-'Bulk Calculator'!M81^2)))/'Bulk Calculator'!J81/'Bulk Calculator'!K81*100,D934*'Bulk Calculator'!U81*'Bulk Calculator'!O81/'Bulk Calculator'!J81/'Bulk Calculator'!K81*100),"")</f>
        <v>0</v>
      </c>
      <c r="K934">
        <f>IFERROR(G934*B934*'Bulk Calculator'!J81/SQRT('Bulk Calculator'!S81)/1000,"")</f>
        <v>15.987886039123497</v>
      </c>
      <c r="L934">
        <f>IF(OR('Bulk Calculator'!R81="",'Bulk Calculator'!S81="",G934=""),0,IF(K934&gt;='Bulk Calculator'!R81,1,0))</f>
        <v>1</v>
      </c>
      <c r="M934">
        <f>IF(AND(H934=1,I934&lt;='OS-DORAEN'!$B$6,J934&lt;='OS-DORAEN'!$B$5,L934=1),1,0)</f>
        <v>1</v>
      </c>
      <c r="N934" t="str">
        <f t="shared" si="14"/>
        <v>R/X</v>
      </c>
    </row>
    <row r="935" spans="1:14" ht="15" customHeight="1" x14ac:dyDescent="0.35">
      <c r="A935">
        <v>81</v>
      </c>
      <c r="B935">
        <v>35</v>
      </c>
      <c r="C935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Master'!$F:$F,B935),"")</f>
        <v>117</v>
      </c>
      <c r="D935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Master'!$F:$F,B935),"")</f>
        <v>1.1100000000000001</v>
      </c>
      <c r="E935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Master'!$F:$F,B935),"")</f>
        <v>1.1100000000000001</v>
      </c>
      <c r="F935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Master'!$F:$F,B935),"")</f>
        <v>0.08</v>
      </c>
      <c r="G935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Master'!$F:$F,B935),"")</f>
        <v>143</v>
      </c>
      <c r="H935">
        <f>IF(AND(ISNUMBER(C935),C935&gt;='Bulk Calculator'!U81/('Bulk Calculator'!J81*'Bulk Calculator'!L81)),1,0)</f>
        <v>1</v>
      </c>
      <c r="I935">
        <f>IFERROR(IF(AND(ISNUMBER(E935),ISNUMBER(F935),E935&gt;0,F935&gt;0),SQRT(3)*'Bulk Calculator'!O81*'Bulk Calculator'!AA81*((E935*'Bulk Calculator'!Q81)+(F935*SQRT(1-'Bulk Calculator'!Q81^2)))/'Bulk Calculator'!J81/'Bulk Calculator'!K81*100,D935*'Bulk Calculator'!AA81*'Bulk Calculator'!O81/'Bulk Calculator'!J81/'Bulk Calculator'!K81*100),"")</f>
        <v>0</v>
      </c>
      <c r="J935">
        <f>IFERROR(IF(AND(ISNUMBER(E935),ISNUMBER(F935),E935&gt;0,F935&gt;0),SQRT(3)*'Bulk Calculator'!O81*'Bulk Calculator'!U81*((E935*'Bulk Calculator'!M81)+(F935*SQRT(1-'Bulk Calculator'!M81^2)))/'Bulk Calculator'!J81/'Bulk Calculator'!K81*100,D935*'Bulk Calculator'!U81*'Bulk Calculator'!O81/'Bulk Calculator'!J81/'Bulk Calculator'!K81*100),"")</f>
        <v>0</v>
      </c>
      <c r="K935">
        <f>IFERROR(G935*B935*'Bulk Calculator'!J81/SQRT('Bulk Calculator'!S81)/1000,"")</f>
        <v>11.191520227386446</v>
      </c>
      <c r="L935">
        <f>IF(OR('Bulk Calculator'!R81="",'Bulk Calculator'!S81="",G935=""),0,IF(K935&gt;='Bulk Calculator'!R81,1,0))</f>
        <v>1</v>
      </c>
      <c r="M935">
        <f>IF(AND(H935=1,I935&lt;='OS-DORAEN'!$B$6,J935&lt;='OS-DORAEN'!$B$5,L935=1),1,0)</f>
        <v>1</v>
      </c>
      <c r="N935" t="str">
        <f t="shared" si="14"/>
        <v>R/X</v>
      </c>
    </row>
    <row r="936" spans="1:14" ht="15" customHeight="1" x14ac:dyDescent="0.35">
      <c r="A936">
        <v>81</v>
      </c>
      <c r="B936">
        <v>25</v>
      </c>
      <c r="C936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Master'!$F:$F,B936),"")</f>
        <v>96</v>
      </c>
      <c r="D936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Master'!$F:$F,B936),"")</f>
        <v>1.54</v>
      </c>
      <c r="E936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Master'!$F:$F,B936),"")</f>
        <v>1.54</v>
      </c>
      <c r="F936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Master'!$F:$F,B936),"")</f>
        <v>0.08</v>
      </c>
      <c r="G936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Master'!$F:$F,B936),"")</f>
        <v>143</v>
      </c>
      <c r="H936">
        <f>IF(AND(ISNUMBER(C936),C936&gt;='Bulk Calculator'!U81/('Bulk Calculator'!J81*'Bulk Calculator'!L81)),1,0)</f>
        <v>1</v>
      </c>
      <c r="I936">
        <f>IFERROR(IF(AND(ISNUMBER(E936),ISNUMBER(F936),E936&gt;0,F936&gt;0),SQRT(3)*'Bulk Calculator'!O81*'Bulk Calculator'!AA81*((E936*'Bulk Calculator'!Q81)+(F936*SQRT(1-'Bulk Calculator'!Q81^2)))/'Bulk Calculator'!J81/'Bulk Calculator'!K81*100,D936*'Bulk Calculator'!AA81*'Bulk Calculator'!O81/'Bulk Calculator'!J81/'Bulk Calculator'!K81*100),"")</f>
        <v>0</v>
      </c>
      <c r="J936">
        <f>IFERROR(IF(AND(ISNUMBER(E936),ISNUMBER(F936),E936&gt;0,F936&gt;0),SQRT(3)*'Bulk Calculator'!O81*'Bulk Calculator'!U81*((E936*'Bulk Calculator'!M81)+(F936*SQRT(1-'Bulk Calculator'!M81^2)))/'Bulk Calculator'!J81/'Bulk Calculator'!K81*100,D936*'Bulk Calculator'!U81*'Bulk Calculator'!O81/'Bulk Calculator'!J81/'Bulk Calculator'!K81*100),"")</f>
        <v>0</v>
      </c>
      <c r="K936">
        <f>IFERROR(G936*B936*'Bulk Calculator'!J81/SQRT('Bulk Calculator'!S81)/1000,"")</f>
        <v>7.9939430195617485</v>
      </c>
      <c r="L936">
        <f>IF(OR('Bulk Calculator'!R81="",'Bulk Calculator'!S81="",G936=""),0,IF(K936&gt;='Bulk Calculator'!R81,1,0))</f>
        <v>1</v>
      </c>
      <c r="M936">
        <f>IF(AND(H936=1,I936&lt;='OS-DORAEN'!$B$6,J936&lt;='OS-DORAEN'!$B$5,L936=1),1,0)</f>
        <v>1</v>
      </c>
      <c r="N936" t="str">
        <f t="shared" si="14"/>
        <v>R/X</v>
      </c>
    </row>
    <row r="937" spans="1:14" ht="15" customHeight="1" x14ac:dyDescent="0.35">
      <c r="A937">
        <v>81</v>
      </c>
      <c r="B937">
        <v>16</v>
      </c>
      <c r="C937">
        <f>IFERROR(SUMIFS('Cable Data Master'!$G:$G,'Cable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Master'!$F:$F,B937),"")</f>
        <v>0</v>
      </c>
      <c r="D937">
        <f>IFERROR(SUMIFS('Cable Data Master'!$K:$K,'Cable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Master'!$F:$F,B937),"")</f>
        <v>0</v>
      </c>
      <c r="E937">
        <f>IFERROR(SUMIFS('Cable Data Master'!$H:$H,'Cable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Master'!$F:$F,B937),"")</f>
        <v>0</v>
      </c>
      <c r="F937">
        <f>IFERROR(SUMIFS('Cable Data Master'!$I:$I,'Cable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Master'!$F:$F,B937),"")</f>
        <v>0</v>
      </c>
      <c r="G937">
        <f>IFERROR(SUMIFS('Cable Data Master'!$J:$J,'Cable Data Master'!$A:$A,'Bulk Calculator'!$BF81,'Cable Data Master'!$B:$B,'Bulk Calculator'!$BG81,'Cable Data Master'!$C:$C,'Bulk Calculator'!$BH81,'Cable Data Master'!$D:$D,'Bulk Calculator'!$BI81,'Cable Data Master'!$E:$E,'Bulk Calculator'!$BJ81,'Cable Data Master'!$F:$F,B937),"")</f>
        <v>0</v>
      </c>
      <c r="H937">
        <f>IF(AND(ISNUMBER(C937),C937&gt;='Bulk Calculator'!U81/('Bulk Calculator'!J81*'Bulk Calculator'!L81)),1,0)</f>
        <v>1</v>
      </c>
      <c r="I937">
        <f>IFERROR(IF(AND(ISNUMBER(E937),ISNUMBER(F937),E937&gt;0,F937&gt;0),SQRT(3)*'Bulk Calculator'!O81*'Bulk Calculator'!AA81*((E937*'Bulk Calculator'!Q81)+(F937*SQRT(1-'Bulk Calculator'!Q81^2)))/'Bulk Calculator'!J81/'Bulk Calculator'!K81*100,D937*'Bulk Calculator'!AA81*'Bulk Calculator'!O81/'Bulk Calculator'!J81/'Bulk Calculator'!K81*100),"")</f>
        <v>0</v>
      </c>
      <c r="J937">
        <f>IFERROR(IF(AND(ISNUMBER(E937),ISNUMBER(F937),E937&gt;0,F937&gt;0),SQRT(3)*'Bulk Calculator'!O81*'Bulk Calculator'!U81*((E937*'Bulk Calculator'!M81)+(F937*SQRT(1-'Bulk Calculator'!M81^2)))/'Bulk Calculator'!J81/'Bulk Calculator'!K81*100,D937*'Bulk Calculator'!U81*'Bulk Calculator'!O81/'Bulk Calculator'!J81/'Bulk Calculator'!K81*100),"")</f>
        <v>0</v>
      </c>
      <c r="K937">
        <f>IFERROR(G937*B937*'Bulk Calculator'!J81/SQRT('Bulk Calculator'!S81)/1000,"")</f>
        <v>0</v>
      </c>
      <c r="L937">
        <f>IF(OR('Bulk Calculator'!R81="",'Bulk Calculator'!S81="",G937=""),0,IF(K937&gt;='Bulk Calculator'!R81,1,0))</f>
        <v>1</v>
      </c>
      <c r="M937">
        <f>IF(AND(H937=1,I937&lt;='OS-DORAEN'!$B$6,J937&lt;='OS-DORAEN'!$B$5,L937=1),1,0)</f>
        <v>1</v>
      </c>
      <c r="N937" t="str">
        <f t="shared" si="14"/>
        <v>Manufacturer VD Ref</v>
      </c>
    </row>
    <row r="938" spans="1:14" ht="15" customHeight="1" x14ac:dyDescent="0.35">
      <c r="A938">
        <v>82</v>
      </c>
      <c r="B938">
        <v>400</v>
      </c>
      <c r="C938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Master'!$F:$F,B938),"")</f>
        <v>530</v>
      </c>
      <c r="D938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Master'!$F:$F,B938),"")</f>
        <v>0.1023</v>
      </c>
      <c r="E938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Master'!$F:$F,B938),"")</f>
        <v>0.1023</v>
      </c>
      <c r="F938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Master'!$F:$F,B938),"")</f>
        <v>7.0000000000000007E-2</v>
      </c>
      <c r="G938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Master'!$F:$F,B938),"")</f>
        <v>143</v>
      </c>
      <c r="H938">
        <f>IF(AND(ISNUMBER(C938),C938&gt;='Bulk Calculator'!U82/('Bulk Calculator'!J82*'Bulk Calculator'!L82)),1,0)</f>
        <v>1</v>
      </c>
      <c r="I938">
        <f>IFERROR(IF(AND(ISNUMBER(E938),ISNUMBER(F938),E938&gt;0,F938&gt;0),SQRT(3)*'Bulk Calculator'!O82*'Bulk Calculator'!AA82*((E938*'Bulk Calculator'!Q82)+(F938*SQRT(1-'Bulk Calculator'!Q82^2)))/'Bulk Calculator'!J82/'Bulk Calculator'!K82*100,D938*'Bulk Calculator'!AA82*'Bulk Calculator'!O82/'Bulk Calculator'!J82/'Bulk Calculator'!K82*100),"")</f>
        <v>0</v>
      </c>
      <c r="J938">
        <f>IFERROR(IF(AND(ISNUMBER(E938),ISNUMBER(F938),E938&gt;0,F938&gt;0),SQRT(3)*'Bulk Calculator'!O82*'Bulk Calculator'!U82*((E938*'Bulk Calculator'!M82)+(F938*SQRT(1-'Bulk Calculator'!M82^2)))/'Bulk Calculator'!J82/'Bulk Calculator'!K82*100,D938*'Bulk Calculator'!U82*'Bulk Calculator'!O82/'Bulk Calculator'!J82/'Bulk Calculator'!K82*100),"")</f>
        <v>0</v>
      </c>
      <c r="K938">
        <f>IFERROR(G938*B938*'Bulk Calculator'!J82/SQRT('Bulk Calculator'!S82)/1000,"")</f>
        <v>127.90308831298798</v>
      </c>
      <c r="L938">
        <f>IF(OR('Bulk Calculator'!R82="",'Bulk Calculator'!S82="",G938=""),0,IF(K938&gt;='Bulk Calculator'!R82,1,0))</f>
        <v>1</v>
      </c>
      <c r="M938">
        <f>IF(AND(H938=1,I938&lt;='OS-DORAEN'!$B$6,J938&lt;='OS-DORAEN'!$B$5,L938=1),1,0)</f>
        <v>1</v>
      </c>
      <c r="N938" t="str">
        <f t="shared" si="14"/>
        <v>R/X</v>
      </c>
    </row>
    <row r="939" spans="1:14" ht="15" customHeight="1" x14ac:dyDescent="0.35">
      <c r="A939">
        <v>82</v>
      </c>
      <c r="B939">
        <v>300</v>
      </c>
      <c r="C939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Master'!$F:$F,B939),"")</f>
        <v>455</v>
      </c>
      <c r="D939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Master'!$F:$F,B939),"")</f>
        <v>0.13</v>
      </c>
      <c r="E939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Master'!$F:$F,B939),"")</f>
        <v>0.13</v>
      </c>
      <c r="F939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Master'!$F:$F,B939),"")</f>
        <v>7.0999999999999994E-2</v>
      </c>
      <c r="G939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Master'!$F:$F,B939),"")</f>
        <v>143</v>
      </c>
      <c r="H939">
        <f>IF(AND(ISNUMBER(C939),C939&gt;='Bulk Calculator'!U82/('Bulk Calculator'!J82*'Bulk Calculator'!L82)),1,0)</f>
        <v>1</v>
      </c>
      <c r="I939">
        <f>IFERROR(IF(AND(ISNUMBER(E939),ISNUMBER(F939),E939&gt;0,F939&gt;0),SQRT(3)*'Bulk Calculator'!O82*'Bulk Calculator'!AA82*((E939*'Bulk Calculator'!Q82)+(F939*SQRT(1-'Bulk Calculator'!Q82^2)))/'Bulk Calculator'!J82/'Bulk Calculator'!K82*100,D939*'Bulk Calculator'!AA82*'Bulk Calculator'!O82/'Bulk Calculator'!J82/'Bulk Calculator'!K82*100),"")</f>
        <v>0</v>
      </c>
      <c r="J939">
        <f>IFERROR(IF(AND(ISNUMBER(E939),ISNUMBER(F939),E939&gt;0,F939&gt;0),SQRT(3)*'Bulk Calculator'!O82*'Bulk Calculator'!U82*((E939*'Bulk Calculator'!M82)+(F939*SQRT(1-'Bulk Calculator'!M82^2)))/'Bulk Calculator'!J82/'Bulk Calculator'!K82*100,D939*'Bulk Calculator'!U82*'Bulk Calculator'!O82/'Bulk Calculator'!J82/'Bulk Calculator'!K82*100),"")</f>
        <v>0</v>
      </c>
      <c r="K939">
        <f>IFERROR(G939*B939*'Bulk Calculator'!J82/SQRT('Bulk Calculator'!S82)/1000,"")</f>
        <v>95.927316234740985</v>
      </c>
      <c r="L939">
        <f>IF(OR('Bulk Calculator'!R82="",'Bulk Calculator'!S82="",G939=""),0,IF(K939&gt;='Bulk Calculator'!R82,1,0))</f>
        <v>1</v>
      </c>
      <c r="M939">
        <f>IF(AND(H939=1,I939&lt;='OS-DORAEN'!$B$6,J939&lt;='OS-DORAEN'!$B$5,L939=1),1,0)</f>
        <v>1</v>
      </c>
      <c r="N939" t="str">
        <f t="shared" si="14"/>
        <v>R/X</v>
      </c>
    </row>
    <row r="940" spans="1:14" ht="15" customHeight="1" x14ac:dyDescent="0.35">
      <c r="A940">
        <v>82</v>
      </c>
      <c r="B940">
        <v>240</v>
      </c>
      <c r="C940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Master'!$F:$F,B940),"")</f>
        <v>399</v>
      </c>
      <c r="D940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Master'!$F:$F,B940),"")</f>
        <v>0.16200000000000001</v>
      </c>
      <c r="E940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Master'!$F:$F,B940),"")</f>
        <v>0.16200000000000001</v>
      </c>
      <c r="F940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Master'!$F:$F,B940),"")</f>
        <v>7.1999999999999995E-2</v>
      </c>
      <c r="G940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Master'!$F:$F,B940),"")</f>
        <v>143</v>
      </c>
      <c r="H940">
        <f>IF(AND(ISNUMBER(C940),C940&gt;='Bulk Calculator'!U82/('Bulk Calculator'!J82*'Bulk Calculator'!L82)),1,0)</f>
        <v>1</v>
      </c>
      <c r="I940">
        <f>IFERROR(IF(AND(ISNUMBER(E940),ISNUMBER(F940),E940&gt;0,F940&gt;0),SQRT(3)*'Bulk Calculator'!O82*'Bulk Calculator'!AA82*((E940*'Bulk Calculator'!Q82)+(F940*SQRT(1-'Bulk Calculator'!Q82^2)))/'Bulk Calculator'!J82/'Bulk Calculator'!K82*100,D940*'Bulk Calculator'!AA82*'Bulk Calculator'!O82/'Bulk Calculator'!J82/'Bulk Calculator'!K82*100),"")</f>
        <v>0</v>
      </c>
      <c r="J940">
        <f>IFERROR(IF(AND(ISNUMBER(E940),ISNUMBER(F940),E940&gt;0,F940&gt;0),SQRT(3)*'Bulk Calculator'!O82*'Bulk Calculator'!U82*((E940*'Bulk Calculator'!M82)+(F940*SQRT(1-'Bulk Calculator'!M82^2)))/'Bulk Calculator'!J82/'Bulk Calculator'!K82*100,D940*'Bulk Calculator'!U82*'Bulk Calculator'!O82/'Bulk Calculator'!J82/'Bulk Calculator'!K82*100),"")</f>
        <v>0</v>
      </c>
      <c r="K940">
        <f>IFERROR(G940*B940*'Bulk Calculator'!J82/SQRT('Bulk Calculator'!S82)/1000,"")</f>
        <v>76.741852987792782</v>
      </c>
      <c r="L940">
        <f>IF(OR('Bulk Calculator'!R82="",'Bulk Calculator'!S82="",G940=""),0,IF(K940&gt;='Bulk Calculator'!R82,1,0))</f>
        <v>1</v>
      </c>
      <c r="M940">
        <f>IF(AND(H940=1,I940&lt;='OS-DORAEN'!$B$6,J940&lt;='OS-DORAEN'!$B$5,L940=1),1,0)</f>
        <v>1</v>
      </c>
      <c r="N940" t="str">
        <f t="shared" si="14"/>
        <v>R/X</v>
      </c>
    </row>
    <row r="941" spans="1:14" ht="15" customHeight="1" x14ac:dyDescent="0.35">
      <c r="A941">
        <v>82</v>
      </c>
      <c r="B941">
        <v>185</v>
      </c>
      <c r="C941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Master'!$F:$F,B941),"")</f>
        <v>337</v>
      </c>
      <c r="D941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Master'!$F:$F,B941),"")</f>
        <v>0.21099999999999999</v>
      </c>
      <c r="E941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Master'!$F:$F,B941),"")</f>
        <v>0.21099999999999999</v>
      </c>
      <c r="F941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Master'!$F:$F,B941),"")</f>
        <v>7.1999999999999995E-2</v>
      </c>
      <c r="G941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Master'!$F:$F,B941),"")</f>
        <v>143</v>
      </c>
      <c r="H941">
        <f>IF(AND(ISNUMBER(C941),C941&gt;='Bulk Calculator'!U82/('Bulk Calculator'!J82*'Bulk Calculator'!L82)),1,0)</f>
        <v>1</v>
      </c>
      <c r="I941">
        <f>IFERROR(IF(AND(ISNUMBER(E941),ISNUMBER(F941),E941&gt;0,F941&gt;0),SQRT(3)*'Bulk Calculator'!O82*'Bulk Calculator'!AA82*((E941*'Bulk Calculator'!Q82)+(F941*SQRT(1-'Bulk Calculator'!Q82^2)))/'Bulk Calculator'!J82/'Bulk Calculator'!K82*100,D941*'Bulk Calculator'!AA82*'Bulk Calculator'!O82/'Bulk Calculator'!J82/'Bulk Calculator'!K82*100),"")</f>
        <v>0</v>
      </c>
      <c r="J941">
        <f>IFERROR(IF(AND(ISNUMBER(E941),ISNUMBER(F941),E941&gt;0,F941&gt;0),SQRT(3)*'Bulk Calculator'!O82*'Bulk Calculator'!U82*((E941*'Bulk Calculator'!M82)+(F941*SQRT(1-'Bulk Calculator'!M82^2)))/'Bulk Calculator'!J82/'Bulk Calculator'!K82*100,D941*'Bulk Calculator'!U82*'Bulk Calculator'!O82/'Bulk Calculator'!J82/'Bulk Calculator'!K82*100),"")</f>
        <v>0</v>
      </c>
      <c r="K941">
        <f>IFERROR(G941*B941*'Bulk Calculator'!J82/SQRT('Bulk Calculator'!S82)/1000,"")</f>
        <v>59.155178344756941</v>
      </c>
      <c r="L941">
        <f>IF(OR('Bulk Calculator'!R82="",'Bulk Calculator'!S82="",G941=""),0,IF(K941&gt;='Bulk Calculator'!R82,1,0))</f>
        <v>1</v>
      </c>
      <c r="M941">
        <f>IF(AND(H941=1,I941&lt;='OS-DORAEN'!$B$6,J941&lt;='OS-DORAEN'!$B$5,L941=1),1,0)</f>
        <v>1</v>
      </c>
      <c r="N941" t="str">
        <f t="shared" si="14"/>
        <v>R/X</v>
      </c>
    </row>
    <row r="942" spans="1:14" ht="15" customHeight="1" x14ac:dyDescent="0.35">
      <c r="A942">
        <v>82</v>
      </c>
      <c r="B942">
        <v>150</v>
      </c>
      <c r="C942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Master'!$F:$F,B942),"")</f>
        <v>292</v>
      </c>
      <c r="D942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Master'!$F:$F,B942),"")</f>
        <v>0.26500000000000001</v>
      </c>
      <c r="E942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Master'!$F:$F,B942),"")</f>
        <v>0.26500000000000001</v>
      </c>
      <c r="F942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Master'!$F:$F,B942),"")</f>
        <v>7.1999999999999995E-2</v>
      </c>
      <c r="G942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Master'!$F:$F,B942),"")</f>
        <v>143</v>
      </c>
      <c r="H942">
        <f>IF(AND(ISNUMBER(C942),C942&gt;='Bulk Calculator'!U82/('Bulk Calculator'!J82*'Bulk Calculator'!L82)),1,0)</f>
        <v>1</v>
      </c>
      <c r="I942">
        <f>IFERROR(IF(AND(ISNUMBER(E942),ISNUMBER(F942),E942&gt;0,F942&gt;0),SQRT(3)*'Bulk Calculator'!O82*'Bulk Calculator'!AA82*((E942*'Bulk Calculator'!Q82)+(F942*SQRT(1-'Bulk Calculator'!Q82^2)))/'Bulk Calculator'!J82/'Bulk Calculator'!K82*100,D942*'Bulk Calculator'!AA82*'Bulk Calculator'!O82/'Bulk Calculator'!J82/'Bulk Calculator'!K82*100),"")</f>
        <v>0</v>
      </c>
      <c r="J942">
        <f>IFERROR(IF(AND(ISNUMBER(E942),ISNUMBER(F942),E942&gt;0,F942&gt;0),SQRT(3)*'Bulk Calculator'!O82*'Bulk Calculator'!U82*((E942*'Bulk Calculator'!M82)+(F942*SQRT(1-'Bulk Calculator'!M82^2)))/'Bulk Calculator'!J82/'Bulk Calculator'!K82*100,D942*'Bulk Calculator'!U82*'Bulk Calculator'!O82/'Bulk Calculator'!J82/'Bulk Calculator'!K82*100),"")</f>
        <v>0</v>
      </c>
      <c r="K942">
        <f>IFERROR(G942*B942*'Bulk Calculator'!J82/SQRT('Bulk Calculator'!S82)/1000,"")</f>
        <v>47.963658117370493</v>
      </c>
      <c r="L942">
        <f>IF(OR('Bulk Calculator'!R82="",'Bulk Calculator'!S82="",G942=""),0,IF(K942&gt;='Bulk Calculator'!R82,1,0))</f>
        <v>1</v>
      </c>
      <c r="M942">
        <f>IF(AND(H942=1,I942&lt;='OS-DORAEN'!$B$6,J942&lt;='OS-DORAEN'!$B$5,L942=1),1,0)</f>
        <v>1</v>
      </c>
      <c r="N942" t="str">
        <f t="shared" si="14"/>
        <v>R/X</v>
      </c>
    </row>
    <row r="943" spans="1:14" ht="15" customHeight="1" x14ac:dyDescent="0.35">
      <c r="A943">
        <v>82</v>
      </c>
      <c r="B943">
        <v>120</v>
      </c>
      <c r="C943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Master'!$F:$F,B943),"")</f>
        <v>257</v>
      </c>
      <c r="D943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Master'!$F:$F,B943),"")</f>
        <v>0.32500000000000001</v>
      </c>
      <c r="E943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Master'!$F:$F,B943),"")</f>
        <v>0.32500000000000001</v>
      </c>
      <c r="F943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Master'!$F:$F,B943),"")</f>
        <v>7.1999999999999995E-2</v>
      </c>
      <c r="G943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Master'!$F:$F,B943),"")</f>
        <v>143</v>
      </c>
      <c r="H943">
        <f>IF(AND(ISNUMBER(C943),C943&gt;='Bulk Calculator'!U82/('Bulk Calculator'!J82*'Bulk Calculator'!L82)),1,0)</f>
        <v>1</v>
      </c>
      <c r="I943">
        <f>IFERROR(IF(AND(ISNUMBER(E943),ISNUMBER(F943),E943&gt;0,F943&gt;0),SQRT(3)*'Bulk Calculator'!O82*'Bulk Calculator'!AA82*((E943*'Bulk Calculator'!Q82)+(F943*SQRT(1-'Bulk Calculator'!Q82^2)))/'Bulk Calculator'!J82/'Bulk Calculator'!K82*100,D943*'Bulk Calculator'!AA82*'Bulk Calculator'!O82/'Bulk Calculator'!J82/'Bulk Calculator'!K82*100),"")</f>
        <v>0</v>
      </c>
      <c r="J943">
        <f>IFERROR(IF(AND(ISNUMBER(E943),ISNUMBER(F943),E943&gt;0,F943&gt;0),SQRT(3)*'Bulk Calculator'!O82*'Bulk Calculator'!U82*((E943*'Bulk Calculator'!M82)+(F943*SQRT(1-'Bulk Calculator'!M82^2)))/'Bulk Calculator'!J82/'Bulk Calculator'!K82*100,D943*'Bulk Calculator'!U82*'Bulk Calculator'!O82/'Bulk Calculator'!J82/'Bulk Calculator'!K82*100),"")</f>
        <v>0</v>
      </c>
      <c r="K943">
        <f>IFERROR(G943*B943*'Bulk Calculator'!J82/SQRT('Bulk Calculator'!S82)/1000,"")</f>
        <v>38.370926493896391</v>
      </c>
      <c r="L943">
        <f>IF(OR('Bulk Calculator'!R82="",'Bulk Calculator'!S82="",G943=""),0,IF(K943&gt;='Bulk Calculator'!R82,1,0))</f>
        <v>1</v>
      </c>
      <c r="M943">
        <f>IF(AND(H943=1,I943&lt;='OS-DORAEN'!$B$6,J943&lt;='OS-DORAEN'!$B$5,L943=1),1,0)</f>
        <v>1</v>
      </c>
      <c r="N943" t="str">
        <f t="shared" si="14"/>
        <v>R/X</v>
      </c>
    </row>
    <row r="944" spans="1:14" ht="15" customHeight="1" x14ac:dyDescent="0.35">
      <c r="A944">
        <v>82</v>
      </c>
      <c r="B944">
        <v>95</v>
      </c>
      <c r="C944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Master'!$F:$F,B944),"")</f>
        <v>221</v>
      </c>
      <c r="D944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Master'!$F:$F,B944),"")</f>
        <v>0.41</v>
      </c>
      <c r="E944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Master'!$F:$F,B944),"")</f>
        <v>0.41</v>
      </c>
      <c r="F944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Master'!$F:$F,B944),"")</f>
        <v>7.3999999999999996E-2</v>
      </c>
      <c r="G944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Master'!$F:$F,B944),"")</f>
        <v>143</v>
      </c>
      <c r="H944">
        <f>IF(AND(ISNUMBER(C944),C944&gt;='Bulk Calculator'!U82/('Bulk Calculator'!J82*'Bulk Calculator'!L82)),1,0)</f>
        <v>1</v>
      </c>
      <c r="I944">
        <f>IFERROR(IF(AND(ISNUMBER(E944),ISNUMBER(F944),E944&gt;0,F944&gt;0),SQRT(3)*'Bulk Calculator'!O82*'Bulk Calculator'!AA82*((E944*'Bulk Calculator'!Q82)+(F944*SQRT(1-'Bulk Calculator'!Q82^2)))/'Bulk Calculator'!J82/'Bulk Calculator'!K82*100,D944*'Bulk Calculator'!AA82*'Bulk Calculator'!O82/'Bulk Calculator'!J82/'Bulk Calculator'!K82*100),"")</f>
        <v>0</v>
      </c>
      <c r="J944">
        <f>IFERROR(IF(AND(ISNUMBER(E944),ISNUMBER(F944),E944&gt;0,F944&gt;0),SQRT(3)*'Bulk Calculator'!O82*'Bulk Calculator'!U82*((E944*'Bulk Calculator'!M82)+(F944*SQRT(1-'Bulk Calculator'!M82^2)))/'Bulk Calculator'!J82/'Bulk Calculator'!K82*100,D944*'Bulk Calculator'!U82*'Bulk Calculator'!O82/'Bulk Calculator'!J82/'Bulk Calculator'!K82*100),"")</f>
        <v>0</v>
      </c>
      <c r="K944">
        <f>IFERROR(G944*B944*'Bulk Calculator'!J82/SQRT('Bulk Calculator'!S82)/1000,"")</f>
        <v>30.376983474334644</v>
      </c>
      <c r="L944">
        <f>IF(OR('Bulk Calculator'!R82="",'Bulk Calculator'!S82="",G944=""),0,IF(K944&gt;='Bulk Calculator'!R82,1,0))</f>
        <v>1</v>
      </c>
      <c r="M944">
        <f>IF(AND(H944=1,I944&lt;='OS-DORAEN'!$B$6,J944&lt;='OS-DORAEN'!$B$5,L944=1),1,0)</f>
        <v>1</v>
      </c>
      <c r="N944" t="str">
        <f t="shared" si="14"/>
        <v>R/X</v>
      </c>
    </row>
    <row r="945" spans="1:14" ht="15" customHeight="1" x14ac:dyDescent="0.35">
      <c r="A945">
        <v>82</v>
      </c>
      <c r="B945">
        <v>70</v>
      </c>
      <c r="C945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Master'!$F:$F,B945),"")</f>
        <v>179</v>
      </c>
      <c r="D945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Master'!$F:$F,B945),"")</f>
        <v>0.56699999999999995</v>
      </c>
      <c r="E945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Master'!$F:$F,B945),"")</f>
        <v>0.56699999999999995</v>
      </c>
      <c r="F945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Master'!$F:$F,B945),"")</f>
        <v>7.6999999999999999E-2</v>
      </c>
      <c r="G945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Master'!$F:$F,B945),"")</f>
        <v>143</v>
      </c>
      <c r="H945">
        <f>IF(AND(ISNUMBER(C945),C945&gt;='Bulk Calculator'!U82/('Bulk Calculator'!J82*'Bulk Calculator'!L82)),1,0)</f>
        <v>1</v>
      </c>
      <c r="I945">
        <f>IFERROR(IF(AND(ISNUMBER(E945),ISNUMBER(F945),E945&gt;0,F945&gt;0),SQRT(3)*'Bulk Calculator'!O82*'Bulk Calculator'!AA82*((E945*'Bulk Calculator'!Q82)+(F945*SQRT(1-'Bulk Calculator'!Q82^2)))/'Bulk Calculator'!J82/'Bulk Calculator'!K82*100,D945*'Bulk Calculator'!AA82*'Bulk Calculator'!O82/'Bulk Calculator'!J82/'Bulk Calculator'!K82*100),"")</f>
        <v>0</v>
      </c>
      <c r="J945">
        <f>IFERROR(IF(AND(ISNUMBER(E945),ISNUMBER(F945),E945&gt;0,F945&gt;0),SQRT(3)*'Bulk Calculator'!O82*'Bulk Calculator'!U82*((E945*'Bulk Calculator'!M82)+(F945*SQRT(1-'Bulk Calculator'!M82^2)))/'Bulk Calculator'!J82/'Bulk Calculator'!K82*100,D945*'Bulk Calculator'!U82*'Bulk Calculator'!O82/'Bulk Calculator'!J82/'Bulk Calculator'!K82*100),"")</f>
        <v>0</v>
      </c>
      <c r="K945">
        <f>IFERROR(G945*B945*'Bulk Calculator'!J82/SQRT('Bulk Calculator'!S82)/1000,"")</f>
        <v>22.383040454772893</v>
      </c>
      <c r="L945">
        <f>IF(OR('Bulk Calculator'!R82="",'Bulk Calculator'!S82="",G945=""),0,IF(K945&gt;='Bulk Calculator'!R82,1,0))</f>
        <v>1</v>
      </c>
      <c r="M945">
        <f>IF(AND(H945=1,I945&lt;='OS-DORAEN'!$B$6,J945&lt;='OS-DORAEN'!$B$5,L945=1),1,0)</f>
        <v>1</v>
      </c>
      <c r="N945" t="str">
        <f t="shared" si="14"/>
        <v>R/X</v>
      </c>
    </row>
    <row r="946" spans="1:14" ht="15" customHeight="1" x14ac:dyDescent="0.35">
      <c r="A946">
        <v>82</v>
      </c>
      <c r="B946">
        <v>50</v>
      </c>
      <c r="C946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Master'!$F:$F,B946),"")</f>
        <v>142</v>
      </c>
      <c r="D946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Master'!$F:$F,B946),"")</f>
        <v>0.82</v>
      </c>
      <c r="E946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Master'!$F:$F,B946),"")</f>
        <v>0.82</v>
      </c>
      <c r="F946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Master'!$F:$F,B946),"")</f>
        <v>7.8E-2</v>
      </c>
      <c r="G946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Master'!$F:$F,B946),"")</f>
        <v>143</v>
      </c>
      <c r="H946">
        <f>IF(AND(ISNUMBER(C946),C946&gt;='Bulk Calculator'!U82/('Bulk Calculator'!J82*'Bulk Calculator'!L82)),1,0)</f>
        <v>1</v>
      </c>
      <c r="I946">
        <f>IFERROR(IF(AND(ISNUMBER(E946),ISNUMBER(F946),E946&gt;0,F946&gt;0),SQRT(3)*'Bulk Calculator'!O82*'Bulk Calculator'!AA82*((E946*'Bulk Calculator'!Q82)+(F946*SQRT(1-'Bulk Calculator'!Q82^2)))/'Bulk Calculator'!J82/'Bulk Calculator'!K82*100,D946*'Bulk Calculator'!AA82*'Bulk Calculator'!O82/'Bulk Calculator'!J82/'Bulk Calculator'!K82*100),"")</f>
        <v>0</v>
      </c>
      <c r="J946">
        <f>IFERROR(IF(AND(ISNUMBER(E946),ISNUMBER(F946),E946&gt;0,F946&gt;0),SQRT(3)*'Bulk Calculator'!O82*'Bulk Calculator'!U82*((E946*'Bulk Calculator'!M82)+(F946*SQRT(1-'Bulk Calculator'!M82^2)))/'Bulk Calculator'!J82/'Bulk Calculator'!K82*100,D946*'Bulk Calculator'!U82*'Bulk Calculator'!O82/'Bulk Calculator'!J82/'Bulk Calculator'!K82*100),"")</f>
        <v>0</v>
      </c>
      <c r="K946">
        <f>IFERROR(G946*B946*'Bulk Calculator'!J82/SQRT('Bulk Calculator'!S82)/1000,"")</f>
        <v>15.987886039123497</v>
      </c>
      <c r="L946">
        <f>IF(OR('Bulk Calculator'!R82="",'Bulk Calculator'!S82="",G946=""),0,IF(K946&gt;='Bulk Calculator'!R82,1,0))</f>
        <v>1</v>
      </c>
      <c r="M946">
        <f>IF(AND(H946=1,I946&lt;='OS-DORAEN'!$B$6,J946&lt;='OS-DORAEN'!$B$5,L946=1),1,0)</f>
        <v>1</v>
      </c>
      <c r="N946" t="str">
        <f t="shared" si="14"/>
        <v>R/X</v>
      </c>
    </row>
    <row r="947" spans="1:14" ht="15" customHeight="1" x14ac:dyDescent="0.35">
      <c r="A947">
        <v>82</v>
      </c>
      <c r="B947">
        <v>35</v>
      </c>
      <c r="C947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Master'!$F:$F,B947),"")</f>
        <v>117</v>
      </c>
      <c r="D947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Master'!$F:$F,B947),"")</f>
        <v>1.1100000000000001</v>
      </c>
      <c r="E947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Master'!$F:$F,B947),"")</f>
        <v>1.1100000000000001</v>
      </c>
      <c r="F947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Master'!$F:$F,B947),"")</f>
        <v>0.08</v>
      </c>
      <c r="G947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Master'!$F:$F,B947),"")</f>
        <v>143</v>
      </c>
      <c r="H947">
        <f>IF(AND(ISNUMBER(C947),C947&gt;='Bulk Calculator'!U82/('Bulk Calculator'!J82*'Bulk Calculator'!L82)),1,0)</f>
        <v>1</v>
      </c>
      <c r="I947">
        <f>IFERROR(IF(AND(ISNUMBER(E947),ISNUMBER(F947),E947&gt;0,F947&gt;0),SQRT(3)*'Bulk Calculator'!O82*'Bulk Calculator'!AA82*((E947*'Bulk Calculator'!Q82)+(F947*SQRT(1-'Bulk Calculator'!Q82^2)))/'Bulk Calculator'!J82/'Bulk Calculator'!K82*100,D947*'Bulk Calculator'!AA82*'Bulk Calculator'!O82/'Bulk Calculator'!J82/'Bulk Calculator'!K82*100),"")</f>
        <v>0</v>
      </c>
      <c r="J947">
        <f>IFERROR(IF(AND(ISNUMBER(E947),ISNUMBER(F947),E947&gt;0,F947&gt;0),SQRT(3)*'Bulk Calculator'!O82*'Bulk Calculator'!U82*((E947*'Bulk Calculator'!M82)+(F947*SQRT(1-'Bulk Calculator'!M82^2)))/'Bulk Calculator'!J82/'Bulk Calculator'!K82*100,D947*'Bulk Calculator'!U82*'Bulk Calculator'!O82/'Bulk Calculator'!J82/'Bulk Calculator'!K82*100),"")</f>
        <v>0</v>
      </c>
      <c r="K947">
        <f>IFERROR(G947*B947*'Bulk Calculator'!J82/SQRT('Bulk Calculator'!S82)/1000,"")</f>
        <v>11.191520227386446</v>
      </c>
      <c r="L947">
        <f>IF(OR('Bulk Calculator'!R82="",'Bulk Calculator'!S82="",G947=""),0,IF(K947&gt;='Bulk Calculator'!R82,1,0))</f>
        <v>1</v>
      </c>
      <c r="M947">
        <f>IF(AND(H947=1,I947&lt;='OS-DORAEN'!$B$6,J947&lt;='OS-DORAEN'!$B$5,L947=1),1,0)</f>
        <v>1</v>
      </c>
      <c r="N947" t="str">
        <f t="shared" si="14"/>
        <v>R/X</v>
      </c>
    </row>
    <row r="948" spans="1:14" ht="15" customHeight="1" x14ac:dyDescent="0.35">
      <c r="A948">
        <v>82</v>
      </c>
      <c r="B948">
        <v>25</v>
      </c>
      <c r="C948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Master'!$F:$F,B948),"")</f>
        <v>96</v>
      </c>
      <c r="D948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Master'!$F:$F,B948),"")</f>
        <v>1.54</v>
      </c>
      <c r="E948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Master'!$F:$F,B948),"")</f>
        <v>1.54</v>
      </c>
      <c r="F948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Master'!$F:$F,B948),"")</f>
        <v>0.08</v>
      </c>
      <c r="G948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Master'!$F:$F,B948),"")</f>
        <v>143</v>
      </c>
      <c r="H948">
        <f>IF(AND(ISNUMBER(C948),C948&gt;='Bulk Calculator'!U82/('Bulk Calculator'!J82*'Bulk Calculator'!L82)),1,0)</f>
        <v>1</v>
      </c>
      <c r="I948">
        <f>IFERROR(IF(AND(ISNUMBER(E948),ISNUMBER(F948),E948&gt;0,F948&gt;0),SQRT(3)*'Bulk Calculator'!O82*'Bulk Calculator'!AA82*((E948*'Bulk Calculator'!Q82)+(F948*SQRT(1-'Bulk Calculator'!Q82^2)))/'Bulk Calculator'!J82/'Bulk Calculator'!K82*100,D948*'Bulk Calculator'!AA82*'Bulk Calculator'!O82/'Bulk Calculator'!J82/'Bulk Calculator'!K82*100),"")</f>
        <v>0</v>
      </c>
      <c r="J948">
        <f>IFERROR(IF(AND(ISNUMBER(E948),ISNUMBER(F948),E948&gt;0,F948&gt;0),SQRT(3)*'Bulk Calculator'!O82*'Bulk Calculator'!U82*((E948*'Bulk Calculator'!M82)+(F948*SQRT(1-'Bulk Calculator'!M82^2)))/'Bulk Calculator'!J82/'Bulk Calculator'!K82*100,D948*'Bulk Calculator'!U82*'Bulk Calculator'!O82/'Bulk Calculator'!J82/'Bulk Calculator'!K82*100),"")</f>
        <v>0</v>
      </c>
      <c r="K948">
        <f>IFERROR(G948*B948*'Bulk Calculator'!J82/SQRT('Bulk Calculator'!S82)/1000,"")</f>
        <v>7.9939430195617485</v>
      </c>
      <c r="L948">
        <f>IF(OR('Bulk Calculator'!R82="",'Bulk Calculator'!S82="",G948=""),0,IF(K948&gt;='Bulk Calculator'!R82,1,0))</f>
        <v>1</v>
      </c>
      <c r="M948">
        <f>IF(AND(H948=1,I948&lt;='OS-DORAEN'!$B$6,J948&lt;='OS-DORAEN'!$B$5,L948=1),1,0)</f>
        <v>1</v>
      </c>
      <c r="N948" t="str">
        <f t="shared" si="14"/>
        <v>R/X</v>
      </c>
    </row>
    <row r="949" spans="1:14" ht="15" customHeight="1" x14ac:dyDescent="0.35">
      <c r="A949">
        <v>82</v>
      </c>
      <c r="B949">
        <v>16</v>
      </c>
      <c r="C949">
        <f>IFERROR(SUMIFS('Cable Data Master'!$G:$G,'Cable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Master'!$F:$F,B949),"")</f>
        <v>0</v>
      </c>
      <c r="D949">
        <f>IFERROR(SUMIFS('Cable Data Master'!$K:$K,'Cable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Master'!$F:$F,B949),"")</f>
        <v>0</v>
      </c>
      <c r="E949">
        <f>IFERROR(SUMIFS('Cable Data Master'!$H:$H,'Cable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Master'!$F:$F,B949),"")</f>
        <v>0</v>
      </c>
      <c r="F949">
        <f>IFERROR(SUMIFS('Cable Data Master'!$I:$I,'Cable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Master'!$F:$F,B949),"")</f>
        <v>0</v>
      </c>
      <c r="G949">
        <f>IFERROR(SUMIFS('Cable Data Master'!$J:$J,'Cable Data Master'!$A:$A,'Bulk Calculator'!$BF82,'Cable Data Master'!$B:$B,'Bulk Calculator'!$BG82,'Cable Data Master'!$C:$C,'Bulk Calculator'!$BH82,'Cable Data Master'!$D:$D,'Bulk Calculator'!$BI82,'Cable Data Master'!$E:$E,'Bulk Calculator'!$BJ82,'Cable Data Master'!$F:$F,B949),"")</f>
        <v>0</v>
      </c>
      <c r="H949">
        <f>IF(AND(ISNUMBER(C949),C949&gt;='Bulk Calculator'!U82/('Bulk Calculator'!J82*'Bulk Calculator'!L82)),1,0)</f>
        <v>1</v>
      </c>
      <c r="I949">
        <f>IFERROR(IF(AND(ISNUMBER(E949),ISNUMBER(F949),E949&gt;0,F949&gt;0),SQRT(3)*'Bulk Calculator'!O82*'Bulk Calculator'!AA82*((E949*'Bulk Calculator'!Q82)+(F949*SQRT(1-'Bulk Calculator'!Q82^2)))/'Bulk Calculator'!J82/'Bulk Calculator'!K82*100,D949*'Bulk Calculator'!AA82*'Bulk Calculator'!O82/'Bulk Calculator'!J82/'Bulk Calculator'!K82*100),"")</f>
        <v>0</v>
      </c>
      <c r="J949">
        <f>IFERROR(IF(AND(ISNUMBER(E949),ISNUMBER(F949),E949&gt;0,F949&gt;0),SQRT(3)*'Bulk Calculator'!O82*'Bulk Calculator'!U82*((E949*'Bulk Calculator'!M82)+(F949*SQRT(1-'Bulk Calculator'!M82^2)))/'Bulk Calculator'!J82/'Bulk Calculator'!K82*100,D949*'Bulk Calculator'!U82*'Bulk Calculator'!O82/'Bulk Calculator'!J82/'Bulk Calculator'!K82*100),"")</f>
        <v>0</v>
      </c>
      <c r="K949">
        <f>IFERROR(G949*B949*'Bulk Calculator'!J82/SQRT('Bulk Calculator'!S82)/1000,"")</f>
        <v>0</v>
      </c>
      <c r="L949">
        <f>IF(OR('Bulk Calculator'!R82="",'Bulk Calculator'!S82="",G949=""),0,IF(K949&gt;='Bulk Calculator'!R82,1,0))</f>
        <v>1</v>
      </c>
      <c r="M949">
        <f>IF(AND(H949=1,I949&lt;='OS-DORAEN'!$B$6,J949&lt;='OS-DORAEN'!$B$5,L949=1),1,0)</f>
        <v>1</v>
      </c>
      <c r="N949" t="str">
        <f t="shared" si="14"/>
        <v>Manufacturer VD Ref</v>
      </c>
    </row>
    <row r="950" spans="1:14" ht="15" customHeight="1" x14ac:dyDescent="0.35">
      <c r="A950">
        <v>83</v>
      </c>
      <c r="B950">
        <v>400</v>
      </c>
      <c r="C950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Master'!$F:$F,B950),"")</f>
        <v>530</v>
      </c>
      <c r="D950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Master'!$F:$F,B950),"")</f>
        <v>0.1023</v>
      </c>
      <c r="E950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Master'!$F:$F,B950),"")</f>
        <v>0.1023</v>
      </c>
      <c r="F950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Master'!$F:$F,B950),"")</f>
        <v>7.0000000000000007E-2</v>
      </c>
      <c r="G950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Master'!$F:$F,B950),"")</f>
        <v>143</v>
      </c>
      <c r="H950">
        <f>IF(AND(ISNUMBER(C950),C950&gt;='Bulk Calculator'!U83/('Bulk Calculator'!J83*'Bulk Calculator'!L83)),1,0)</f>
        <v>1</v>
      </c>
      <c r="I950">
        <f>IFERROR(IF(AND(ISNUMBER(E950),ISNUMBER(F950),E950&gt;0,F950&gt;0),SQRT(3)*'Bulk Calculator'!O83*'Bulk Calculator'!AA83*((E950*'Bulk Calculator'!Q83)+(F950*SQRT(1-'Bulk Calculator'!Q83^2)))/'Bulk Calculator'!J83/'Bulk Calculator'!K83*100,D950*'Bulk Calculator'!AA83*'Bulk Calculator'!O83/'Bulk Calculator'!J83/'Bulk Calculator'!K83*100),"")</f>
        <v>0</v>
      </c>
      <c r="J950">
        <f>IFERROR(IF(AND(ISNUMBER(E950),ISNUMBER(F950),E950&gt;0,F950&gt;0),SQRT(3)*'Bulk Calculator'!O83*'Bulk Calculator'!U83*((E950*'Bulk Calculator'!M83)+(F950*SQRT(1-'Bulk Calculator'!M83^2)))/'Bulk Calculator'!J83/'Bulk Calculator'!K83*100,D950*'Bulk Calculator'!U83*'Bulk Calculator'!O83/'Bulk Calculator'!J83/'Bulk Calculator'!K83*100),"")</f>
        <v>0</v>
      </c>
      <c r="K950">
        <f>IFERROR(G950*B950*'Bulk Calculator'!J83/SQRT('Bulk Calculator'!S83)/1000,"")</f>
        <v>127.90308831298798</v>
      </c>
      <c r="L950">
        <f>IF(OR('Bulk Calculator'!R83="",'Bulk Calculator'!S83="",G950=""),0,IF(K950&gt;='Bulk Calculator'!R83,1,0))</f>
        <v>1</v>
      </c>
      <c r="M950">
        <f>IF(AND(H950=1,I950&lt;='OS-DORAEN'!$B$6,J950&lt;='OS-DORAEN'!$B$5,L950=1),1,0)</f>
        <v>1</v>
      </c>
      <c r="N950" t="str">
        <f t="shared" si="14"/>
        <v>R/X</v>
      </c>
    </row>
    <row r="951" spans="1:14" ht="15" customHeight="1" x14ac:dyDescent="0.35">
      <c r="A951">
        <v>83</v>
      </c>
      <c r="B951">
        <v>300</v>
      </c>
      <c r="C951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Master'!$F:$F,B951),"")</f>
        <v>455</v>
      </c>
      <c r="D951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Master'!$F:$F,B951),"")</f>
        <v>0.13</v>
      </c>
      <c r="E951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Master'!$F:$F,B951),"")</f>
        <v>0.13</v>
      </c>
      <c r="F951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Master'!$F:$F,B951),"")</f>
        <v>7.0999999999999994E-2</v>
      </c>
      <c r="G951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Master'!$F:$F,B951),"")</f>
        <v>143</v>
      </c>
      <c r="H951">
        <f>IF(AND(ISNUMBER(C951),C951&gt;='Bulk Calculator'!U83/('Bulk Calculator'!J83*'Bulk Calculator'!L83)),1,0)</f>
        <v>1</v>
      </c>
      <c r="I951">
        <f>IFERROR(IF(AND(ISNUMBER(E951),ISNUMBER(F951),E951&gt;0,F951&gt;0),SQRT(3)*'Bulk Calculator'!O83*'Bulk Calculator'!AA83*((E951*'Bulk Calculator'!Q83)+(F951*SQRT(1-'Bulk Calculator'!Q83^2)))/'Bulk Calculator'!J83/'Bulk Calculator'!K83*100,D951*'Bulk Calculator'!AA83*'Bulk Calculator'!O83/'Bulk Calculator'!J83/'Bulk Calculator'!K83*100),"")</f>
        <v>0</v>
      </c>
      <c r="J951">
        <f>IFERROR(IF(AND(ISNUMBER(E951),ISNUMBER(F951),E951&gt;0,F951&gt;0),SQRT(3)*'Bulk Calculator'!O83*'Bulk Calculator'!U83*((E951*'Bulk Calculator'!M83)+(F951*SQRT(1-'Bulk Calculator'!M83^2)))/'Bulk Calculator'!J83/'Bulk Calculator'!K83*100,D951*'Bulk Calculator'!U83*'Bulk Calculator'!O83/'Bulk Calculator'!J83/'Bulk Calculator'!K83*100),"")</f>
        <v>0</v>
      </c>
      <c r="K951">
        <f>IFERROR(G951*B951*'Bulk Calculator'!J83/SQRT('Bulk Calculator'!S83)/1000,"")</f>
        <v>95.927316234740985</v>
      </c>
      <c r="L951">
        <f>IF(OR('Bulk Calculator'!R83="",'Bulk Calculator'!S83="",G951=""),0,IF(K951&gt;='Bulk Calculator'!R83,1,0))</f>
        <v>1</v>
      </c>
      <c r="M951">
        <f>IF(AND(H951=1,I951&lt;='OS-DORAEN'!$B$6,J951&lt;='OS-DORAEN'!$B$5,L951=1),1,0)</f>
        <v>1</v>
      </c>
      <c r="N951" t="str">
        <f t="shared" si="14"/>
        <v>R/X</v>
      </c>
    </row>
    <row r="952" spans="1:14" ht="15" customHeight="1" x14ac:dyDescent="0.35">
      <c r="A952">
        <v>83</v>
      </c>
      <c r="B952">
        <v>240</v>
      </c>
      <c r="C952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Master'!$F:$F,B952),"")</f>
        <v>399</v>
      </c>
      <c r="D952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Master'!$F:$F,B952),"")</f>
        <v>0.16200000000000001</v>
      </c>
      <c r="E952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Master'!$F:$F,B952),"")</f>
        <v>0.16200000000000001</v>
      </c>
      <c r="F952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Master'!$F:$F,B952),"")</f>
        <v>7.1999999999999995E-2</v>
      </c>
      <c r="G952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Master'!$F:$F,B952),"")</f>
        <v>143</v>
      </c>
      <c r="H952">
        <f>IF(AND(ISNUMBER(C952),C952&gt;='Bulk Calculator'!U83/('Bulk Calculator'!J83*'Bulk Calculator'!L83)),1,0)</f>
        <v>1</v>
      </c>
      <c r="I952">
        <f>IFERROR(IF(AND(ISNUMBER(E952),ISNUMBER(F952),E952&gt;0,F952&gt;0),SQRT(3)*'Bulk Calculator'!O83*'Bulk Calculator'!AA83*((E952*'Bulk Calculator'!Q83)+(F952*SQRT(1-'Bulk Calculator'!Q83^2)))/'Bulk Calculator'!J83/'Bulk Calculator'!K83*100,D952*'Bulk Calculator'!AA83*'Bulk Calculator'!O83/'Bulk Calculator'!J83/'Bulk Calculator'!K83*100),"")</f>
        <v>0</v>
      </c>
      <c r="J952">
        <f>IFERROR(IF(AND(ISNUMBER(E952),ISNUMBER(F952),E952&gt;0,F952&gt;0),SQRT(3)*'Bulk Calculator'!O83*'Bulk Calculator'!U83*((E952*'Bulk Calculator'!M83)+(F952*SQRT(1-'Bulk Calculator'!M83^2)))/'Bulk Calculator'!J83/'Bulk Calculator'!K83*100,D952*'Bulk Calculator'!U83*'Bulk Calculator'!O83/'Bulk Calculator'!J83/'Bulk Calculator'!K83*100),"")</f>
        <v>0</v>
      </c>
      <c r="K952">
        <f>IFERROR(G952*B952*'Bulk Calculator'!J83/SQRT('Bulk Calculator'!S83)/1000,"")</f>
        <v>76.741852987792782</v>
      </c>
      <c r="L952">
        <f>IF(OR('Bulk Calculator'!R83="",'Bulk Calculator'!S83="",G952=""),0,IF(K952&gt;='Bulk Calculator'!R83,1,0))</f>
        <v>1</v>
      </c>
      <c r="M952">
        <f>IF(AND(H952=1,I952&lt;='OS-DORAEN'!$B$6,J952&lt;='OS-DORAEN'!$B$5,L952=1),1,0)</f>
        <v>1</v>
      </c>
      <c r="N952" t="str">
        <f t="shared" si="14"/>
        <v>R/X</v>
      </c>
    </row>
    <row r="953" spans="1:14" ht="15" customHeight="1" x14ac:dyDescent="0.35">
      <c r="A953">
        <v>83</v>
      </c>
      <c r="B953">
        <v>185</v>
      </c>
      <c r="C953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Master'!$F:$F,B953),"")</f>
        <v>337</v>
      </c>
      <c r="D953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Master'!$F:$F,B953),"")</f>
        <v>0.21099999999999999</v>
      </c>
      <c r="E953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Master'!$F:$F,B953),"")</f>
        <v>0.21099999999999999</v>
      </c>
      <c r="F953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Master'!$F:$F,B953),"")</f>
        <v>7.1999999999999995E-2</v>
      </c>
      <c r="G953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Master'!$F:$F,B953),"")</f>
        <v>143</v>
      </c>
      <c r="H953">
        <f>IF(AND(ISNUMBER(C953),C953&gt;='Bulk Calculator'!U83/('Bulk Calculator'!J83*'Bulk Calculator'!L83)),1,0)</f>
        <v>1</v>
      </c>
      <c r="I953">
        <f>IFERROR(IF(AND(ISNUMBER(E953),ISNUMBER(F953),E953&gt;0,F953&gt;0),SQRT(3)*'Bulk Calculator'!O83*'Bulk Calculator'!AA83*((E953*'Bulk Calculator'!Q83)+(F953*SQRT(1-'Bulk Calculator'!Q83^2)))/'Bulk Calculator'!J83/'Bulk Calculator'!K83*100,D953*'Bulk Calculator'!AA83*'Bulk Calculator'!O83/'Bulk Calculator'!J83/'Bulk Calculator'!K83*100),"")</f>
        <v>0</v>
      </c>
      <c r="J953">
        <f>IFERROR(IF(AND(ISNUMBER(E953),ISNUMBER(F953),E953&gt;0,F953&gt;0),SQRT(3)*'Bulk Calculator'!O83*'Bulk Calculator'!U83*((E953*'Bulk Calculator'!M83)+(F953*SQRT(1-'Bulk Calculator'!M83^2)))/'Bulk Calculator'!J83/'Bulk Calculator'!K83*100,D953*'Bulk Calculator'!U83*'Bulk Calculator'!O83/'Bulk Calculator'!J83/'Bulk Calculator'!K83*100),"")</f>
        <v>0</v>
      </c>
      <c r="K953">
        <f>IFERROR(G953*B953*'Bulk Calculator'!J83/SQRT('Bulk Calculator'!S83)/1000,"")</f>
        <v>59.155178344756941</v>
      </c>
      <c r="L953">
        <f>IF(OR('Bulk Calculator'!R83="",'Bulk Calculator'!S83="",G953=""),0,IF(K953&gt;='Bulk Calculator'!R83,1,0))</f>
        <v>1</v>
      </c>
      <c r="M953">
        <f>IF(AND(H953=1,I953&lt;='OS-DORAEN'!$B$6,J953&lt;='OS-DORAEN'!$B$5,L953=1),1,0)</f>
        <v>1</v>
      </c>
      <c r="N953" t="str">
        <f t="shared" si="14"/>
        <v>R/X</v>
      </c>
    </row>
    <row r="954" spans="1:14" ht="15" customHeight="1" x14ac:dyDescent="0.35">
      <c r="A954">
        <v>83</v>
      </c>
      <c r="B954">
        <v>150</v>
      </c>
      <c r="C954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Master'!$F:$F,B954),"")</f>
        <v>292</v>
      </c>
      <c r="D954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Master'!$F:$F,B954),"")</f>
        <v>0.26500000000000001</v>
      </c>
      <c r="E954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Master'!$F:$F,B954),"")</f>
        <v>0.26500000000000001</v>
      </c>
      <c r="F954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Master'!$F:$F,B954),"")</f>
        <v>7.1999999999999995E-2</v>
      </c>
      <c r="G954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Master'!$F:$F,B954),"")</f>
        <v>143</v>
      </c>
      <c r="H954">
        <f>IF(AND(ISNUMBER(C954),C954&gt;='Bulk Calculator'!U83/('Bulk Calculator'!J83*'Bulk Calculator'!L83)),1,0)</f>
        <v>1</v>
      </c>
      <c r="I954">
        <f>IFERROR(IF(AND(ISNUMBER(E954),ISNUMBER(F954),E954&gt;0,F954&gt;0),SQRT(3)*'Bulk Calculator'!O83*'Bulk Calculator'!AA83*((E954*'Bulk Calculator'!Q83)+(F954*SQRT(1-'Bulk Calculator'!Q83^2)))/'Bulk Calculator'!J83/'Bulk Calculator'!K83*100,D954*'Bulk Calculator'!AA83*'Bulk Calculator'!O83/'Bulk Calculator'!J83/'Bulk Calculator'!K83*100),"")</f>
        <v>0</v>
      </c>
      <c r="J954">
        <f>IFERROR(IF(AND(ISNUMBER(E954),ISNUMBER(F954),E954&gt;0,F954&gt;0),SQRT(3)*'Bulk Calculator'!O83*'Bulk Calculator'!U83*((E954*'Bulk Calculator'!M83)+(F954*SQRT(1-'Bulk Calculator'!M83^2)))/'Bulk Calculator'!J83/'Bulk Calculator'!K83*100,D954*'Bulk Calculator'!U83*'Bulk Calculator'!O83/'Bulk Calculator'!J83/'Bulk Calculator'!K83*100),"")</f>
        <v>0</v>
      </c>
      <c r="K954">
        <f>IFERROR(G954*B954*'Bulk Calculator'!J83/SQRT('Bulk Calculator'!S83)/1000,"")</f>
        <v>47.963658117370493</v>
      </c>
      <c r="L954">
        <f>IF(OR('Bulk Calculator'!R83="",'Bulk Calculator'!S83="",G954=""),0,IF(K954&gt;='Bulk Calculator'!R83,1,0))</f>
        <v>1</v>
      </c>
      <c r="M954">
        <f>IF(AND(H954=1,I954&lt;='OS-DORAEN'!$B$6,J954&lt;='OS-DORAEN'!$B$5,L954=1),1,0)</f>
        <v>1</v>
      </c>
      <c r="N954" t="str">
        <f t="shared" si="14"/>
        <v>R/X</v>
      </c>
    </row>
    <row r="955" spans="1:14" ht="15" customHeight="1" x14ac:dyDescent="0.35">
      <c r="A955">
        <v>83</v>
      </c>
      <c r="B955">
        <v>120</v>
      </c>
      <c r="C955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Master'!$F:$F,B955),"")</f>
        <v>257</v>
      </c>
      <c r="D955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Master'!$F:$F,B955),"")</f>
        <v>0.32500000000000001</v>
      </c>
      <c r="E955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Master'!$F:$F,B955),"")</f>
        <v>0.32500000000000001</v>
      </c>
      <c r="F955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Master'!$F:$F,B955),"")</f>
        <v>7.1999999999999995E-2</v>
      </c>
      <c r="G955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Master'!$F:$F,B955),"")</f>
        <v>143</v>
      </c>
      <c r="H955">
        <f>IF(AND(ISNUMBER(C955),C955&gt;='Bulk Calculator'!U83/('Bulk Calculator'!J83*'Bulk Calculator'!L83)),1,0)</f>
        <v>1</v>
      </c>
      <c r="I955">
        <f>IFERROR(IF(AND(ISNUMBER(E955),ISNUMBER(F955),E955&gt;0,F955&gt;0),SQRT(3)*'Bulk Calculator'!O83*'Bulk Calculator'!AA83*((E955*'Bulk Calculator'!Q83)+(F955*SQRT(1-'Bulk Calculator'!Q83^2)))/'Bulk Calculator'!J83/'Bulk Calculator'!K83*100,D955*'Bulk Calculator'!AA83*'Bulk Calculator'!O83/'Bulk Calculator'!J83/'Bulk Calculator'!K83*100),"")</f>
        <v>0</v>
      </c>
      <c r="J955">
        <f>IFERROR(IF(AND(ISNUMBER(E955),ISNUMBER(F955),E955&gt;0,F955&gt;0),SQRT(3)*'Bulk Calculator'!O83*'Bulk Calculator'!U83*((E955*'Bulk Calculator'!M83)+(F955*SQRT(1-'Bulk Calculator'!M83^2)))/'Bulk Calculator'!J83/'Bulk Calculator'!K83*100,D955*'Bulk Calculator'!U83*'Bulk Calculator'!O83/'Bulk Calculator'!J83/'Bulk Calculator'!K83*100),"")</f>
        <v>0</v>
      </c>
      <c r="K955">
        <f>IFERROR(G955*B955*'Bulk Calculator'!J83/SQRT('Bulk Calculator'!S83)/1000,"")</f>
        <v>38.370926493896391</v>
      </c>
      <c r="L955">
        <f>IF(OR('Bulk Calculator'!R83="",'Bulk Calculator'!S83="",G955=""),0,IF(K955&gt;='Bulk Calculator'!R83,1,0))</f>
        <v>1</v>
      </c>
      <c r="M955">
        <f>IF(AND(H955=1,I955&lt;='OS-DORAEN'!$B$6,J955&lt;='OS-DORAEN'!$B$5,L955=1),1,0)</f>
        <v>1</v>
      </c>
      <c r="N955" t="str">
        <f t="shared" si="14"/>
        <v>R/X</v>
      </c>
    </row>
    <row r="956" spans="1:14" ht="15" customHeight="1" x14ac:dyDescent="0.35">
      <c r="A956">
        <v>83</v>
      </c>
      <c r="B956">
        <v>95</v>
      </c>
      <c r="C956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Master'!$F:$F,B956),"")</f>
        <v>221</v>
      </c>
      <c r="D956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Master'!$F:$F,B956),"")</f>
        <v>0.41</v>
      </c>
      <c r="E956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Master'!$F:$F,B956),"")</f>
        <v>0.41</v>
      </c>
      <c r="F956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Master'!$F:$F,B956),"")</f>
        <v>7.3999999999999996E-2</v>
      </c>
      <c r="G956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Master'!$F:$F,B956),"")</f>
        <v>143</v>
      </c>
      <c r="H956">
        <f>IF(AND(ISNUMBER(C956),C956&gt;='Bulk Calculator'!U83/('Bulk Calculator'!J83*'Bulk Calculator'!L83)),1,0)</f>
        <v>1</v>
      </c>
      <c r="I956">
        <f>IFERROR(IF(AND(ISNUMBER(E956),ISNUMBER(F956),E956&gt;0,F956&gt;0),SQRT(3)*'Bulk Calculator'!O83*'Bulk Calculator'!AA83*((E956*'Bulk Calculator'!Q83)+(F956*SQRT(1-'Bulk Calculator'!Q83^2)))/'Bulk Calculator'!J83/'Bulk Calculator'!K83*100,D956*'Bulk Calculator'!AA83*'Bulk Calculator'!O83/'Bulk Calculator'!J83/'Bulk Calculator'!K83*100),"")</f>
        <v>0</v>
      </c>
      <c r="J956">
        <f>IFERROR(IF(AND(ISNUMBER(E956),ISNUMBER(F956),E956&gt;0,F956&gt;0),SQRT(3)*'Bulk Calculator'!O83*'Bulk Calculator'!U83*((E956*'Bulk Calculator'!M83)+(F956*SQRT(1-'Bulk Calculator'!M83^2)))/'Bulk Calculator'!J83/'Bulk Calculator'!K83*100,D956*'Bulk Calculator'!U83*'Bulk Calculator'!O83/'Bulk Calculator'!J83/'Bulk Calculator'!K83*100),"")</f>
        <v>0</v>
      </c>
      <c r="K956">
        <f>IFERROR(G956*B956*'Bulk Calculator'!J83/SQRT('Bulk Calculator'!S83)/1000,"")</f>
        <v>30.376983474334644</v>
      </c>
      <c r="L956">
        <f>IF(OR('Bulk Calculator'!R83="",'Bulk Calculator'!S83="",G956=""),0,IF(K956&gt;='Bulk Calculator'!R83,1,0))</f>
        <v>1</v>
      </c>
      <c r="M956">
        <f>IF(AND(H956=1,I956&lt;='OS-DORAEN'!$B$6,J956&lt;='OS-DORAEN'!$B$5,L956=1),1,0)</f>
        <v>1</v>
      </c>
      <c r="N956" t="str">
        <f t="shared" si="14"/>
        <v>R/X</v>
      </c>
    </row>
    <row r="957" spans="1:14" ht="15" customHeight="1" x14ac:dyDescent="0.35">
      <c r="A957">
        <v>83</v>
      </c>
      <c r="B957">
        <v>70</v>
      </c>
      <c r="C957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Master'!$F:$F,B957),"")</f>
        <v>179</v>
      </c>
      <c r="D957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Master'!$F:$F,B957),"")</f>
        <v>0.56699999999999995</v>
      </c>
      <c r="E957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Master'!$F:$F,B957),"")</f>
        <v>0.56699999999999995</v>
      </c>
      <c r="F957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Master'!$F:$F,B957),"")</f>
        <v>7.6999999999999999E-2</v>
      </c>
      <c r="G957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Master'!$F:$F,B957),"")</f>
        <v>143</v>
      </c>
      <c r="H957">
        <f>IF(AND(ISNUMBER(C957),C957&gt;='Bulk Calculator'!U83/('Bulk Calculator'!J83*'Bulk Calculator'!L83)),1,0)</f>
        <v>1</v>
      </c>
      <c r="I957">
        <f>IFERROR(IF(AND(ISNUMBER(E957),ISNUMBER(F957),E957&gt;0,F957&gt;0),SQRT(3)*'Bulk Calculator'!O83*'Bulk Calculator'!AA83*((E957*'Bulk Calculator'!Q83)+(F957*SQRT(1-'Bulk Calculator'!Q83^2)))/'Bulk Calculator'!J83/'Bulk Calculator'!K83*100,D957*'Bulk Calculator'!AA83*'Bulk Calculator'!O83/'Bulk Calculator'!J83/'Bulk Calculator'!K83*100),"")</f>
        <v>0</v>
      </c>
      <c r="J957">
        <f>IFERROR(IF(AND(ISNUMBER(E957),ISNUMBER(F957),E957&gt;0,F957&gt;0),SQRT(3)*'Bulk Calculator'!O83*'Bulk Calculator'!U83*((E957*'Bulk Calculator'!M83)+(F957*SQRT(1-'Bulk Calculator'!M83^2)))/'Bulk Calculator'!J83/'Bulk Calculator'!K83*100,D957*'Bulk Calculator'!U83*'Bulk Calculator'!O83/'Bulk Calculator'!J83/'Bulk Calculator'!K83*100),"")</f>
        <v>0</v>
      </c>
      <c r="K957">
        <f>IFERROR(G957*B957*'Bulk Calculator'!J83/SQRT('Bulk Calculator'!S83)/1000,"")</f>
        <v>22.383040454772893</v>
      </c>
      <c r="L957">
        <f>IF(OR('Bulk Calculator'!R83="",'Bulk Calculator'!S83="",G957=""),0,IF(K957&gt;='Bulk Calculator'!R83,1,0))</f>
        <v>1</v>
      </c>
      <c r="M957">
        <f>IF(AND(H957=1,I957&lt;='OS-DORAEN'!$B$6,J957&lt;='OS-DORAEN'!$B$5,L957=1),1,0)</f>
        <v>1</v>
      </c>
      <c r="N957" t="str">
        <f t="shared" si="14"/>
        <v>R/X</v>
      </c>
    </row>
    <row r="958" spans="1:14" ht="15" customHeight="1" x14ac:dyDescent="0.35">
      <c r="A958">
        <v>83</v>
      </c>
      <c r="B958">
        <v>50</v>
      </c>
      <c r="C958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Master'!$F:$F,B958),"")</f>
        <v>142</v>
      </c>
      <c r="D958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Master'!$F:$F,B958),"")</f>
        <v>0.82</v>
      </c>
      <c r="E958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Master'!$F:$F,B958),"")</f>
        <v>0.82</v>
      </c>
      <c r="F958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Master'!$F:$F,B958),"")</f>
        <v>7.8E-2</v>
      </c>
      <c r="G958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Master'!$F:$F,B958),"")</f>
        <v>143</v>
      </c>
      <c r="H958">
        <f>IF(AND(ISNUMBER(C958),C958&gt;='Bulk Calculator'!U83/('Bulk Calculator'!J83*'Bulk Calculator'!L83)),1,0)</f>
        <v>1</v>
      </c>
      <c r="I958">
        <f>IFERROR(IF(AND(ISNUMBER(E958),ISNUMBER(F958),E958&gt;0,F958&gt;0),SQRT(3)*'Bulk Calculator'!O83*'Bulk Calculator'!AA83*((E958*'Bulk Calculator'!Q83)+(F958*SQRT(1-'Bulk Calculator'!Q83^2)))/'Bulk Calculator'!J83/'Bulk Calculator'!K83*100,D958*'Bulk Calculator'!AA83*'Bulk Calculator'!O83/'Bulk Calculator'!J83/'Bulk Calculator'!K83*100),"")</f>
        <v>0</v>
      </c>
      <c r="J958">
        <f>IFERROR(IF(AND(ISNUMBER(E958),ISNUMBER(F958),E958&gt;0,F958&gt;0),SQRT(3)*'Bulk Calculator'!O83*'Bulk Calculator'!U83*((E958*'Bulk Calculator'!M83)+(F958*SQRT(1-'Bulk Calculator'!M83^2)))/'Bulk Calculator'!J83/'Bulk Calculator'!K83*100,D958*'Bulk Calculator'!U83*'Bulk Calculator'!O83/'Bulk Calculator'!J83/'Bulk Calculator'!K83*100),"")</f>
        <v>0</v>
      </c>
      <c r="K958">
        <f>IFERROR(G958*B958*'Bulk Calculator'!J83/SQRT('Bulk Calculator'!S83)/1000,"")</f>
        <v>15.987886039123497</v>
      </c>
      <c r="L958">
        <f>IF(OR('Bulk Calculator'!R83="",'Bulk Calculator'!S83="",G958=""),0,IF(K958&gt;='Bulk Calculator'!R83,1,0))</f>
        <v>1</v>
      </c>
      <c r="M958">
        <f>IF(AND(H958=1,I958&lt;='OS-DORAEN'!$B$6,J958&lt;='OS-DORAEN'!$B$5,L958=1),1,0)</f>
        <v>1</v>
      </c>
      <c r="N958" t="str">
        <f t="shared" si="14"/>
        <v>R/X</v>
      </c>
    </row>
    <row r="959" spans="1:14" ht="15" customHeight="1" x14ac:dyDescent="0.35">
      <c r="A959">
        <v>83</v>
      </c>
      <c r="B959">
        <v>35</v>
      </c>
      <c r="C959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Master'!$F:$F,B959),"")</f>
        <v>117</v>
      </c>
      <c r="D959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Master'!$F:$F,B959),"")</f>
        <v>1.1100000000000001</v>
      </c>
      <c r="E959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Master'!$F:$F,B959),"")</f>
        <v>1.1100000000000001</v>
      </c>
      <c r="F959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Master'!$F:$F,B959),"")</f>
        <v>0.08</v>
      </c>
      <c r="G959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Master'!$F:$F,B959),"")</f>
        <v>143</v>
      </c>
      <c r="H959">
        <f>IF(AND(ISNUMBER(C959),C959&gt;='Bulk Calculator'!U83/('Bulk Calculator'!J83*'Bulk Calculator'!L83)),1,0)</f>
        <v>1</v>
      </c>
      <c r="I959">
        <f>IFERROR(IF(AND(ISNUMBER(E959),ISNUMBER(F959),E959&gt;0,F959&gt;0),SQRT(3)*'Bulk Calculator'!O83*'Bulk Calculator'!AA83*((E959*'Bulk Calculator'!Q83)+(F959*SQRT(1-'Bulk Calculator'!Q83^2)))/'Bulk Calculator'!J83/'Bulk Calculator'!K83*100,D959*'Bulk Calculator'!AA83*'Bulk Calculator'!O83/'Bulk Calculator'!J83/'Bulk Calculator'!K83*100),"")</f>
        <v>0</v>
      </c>
      <c r="J959">
        <f>IFERROR(IF(AND(ISNUMBER(E959),ISNUMBER(F959),E959&gt;0,F959&gt;0),SQRT(3)*'Bulk Calculator'!O83*'Bulk Calculator'!U83*((E959*'Bulk Calculator'!M83)+(F959*SQRT(1-'Bulk Calculator'!M83^2)))/'Bulk Calculator'!J83/'Bulk Calculator'!K83*100,D959*'Bulk Calculator'!U83*'Bulk Calculator'!O83/'Bulk Calculator'!J83/'Bulk Calculator'!K83*100),"")</f>
        <v>0</v>
      </c>
      <c r="K959">
        <f>IFERROR(G959*B959*'Bulk Calculator'!J83/SQRT('Bulk Calculator'!S83)/1000,"")</f>
        <v>11.191520227386446</v>
      </c>
      <c r="L959">
        <f>IF(OR('Bulk Calculator'!R83="",'Bulk Calculator'!S83="",G959=""),0,IF(K959&gt;='Bulk Calculator'!R83,1,0))</f>
        <v>1</v>
      </c>
      <c r="M959">
        <f>IF(AND(H959=1,I959&lt;='OS-DORAEN'!$B$6,J959&lt;='OS-DORAEN'!$B$5,L959=1),1,0)</f>
        <v>1</v>
      </c>
      <c r="N959" t="str">
        <f t="shared" si="14"/>
        <v>R/X</v>
      </c>
    </row>
    <row r="960" spans="1:14" ht="15" customHeight="1" x14ac:dyDescent="0.35">
      <c r="A960">
        <v>83</v>
      </c>
      <c r="B960">
        <v>25</v>
      </c>
      <c r="C960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Master'!$F:$F,B960),"")</f>
        <v>96</v>
      </c>
      <c r="D960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Master'!$F:$F,B960),"")</f>
        <v>1.54</v>
      </c>
      <c r="E960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Master'!$F:$F,B960),"")</f>
        <v>1.54</v>
      </c>
      <c r="F960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Master'!$F:$F,B960),"")</f>
        <v>0.08</v>
      </c>
      <c r="G960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Master'!$F:$F,B960),"")</f>
        <v>143</v>
      </c>
      <c r="H960">
        <f>IF(AND(ISNUMBER(C960),C960&gt;='Bulk Calculator'!U83/('Bulk Calculator'!J83*'Bulk Calculator'!L83)),1,0)</f>
        <v>1</v>
      </c>
      <c r="I960">
        <f>IFERROR(IF(AND(ISNUMBER(E960),ISNUMBER(F960),E960&gt;0,F960&gt;0),SQRT(3)*'Bulk Calculator'!O83*'Bulk Calculator'!AA83*((E960*'Bulk Calculator'!Q83)+(F960*SQRT(1-'Bulk Calculator'!Q83^2)))/'Bulk Calculator'!J83/'Bulk Calculator'!K83*100,D960*'Bulk Calculator'!AA83*'Bulk Calculator'!O83/'Bulk Calculator'!J83/'Bulk Calculator'!K83*100),"")</f>
        <v>0</v>
      </c>
      <c r="J960">
        <f>IFERROR(IF(AND(ISNUMBER(E960),ISNUMBER(F960),E960&gt;0,F960&gt;0),SQRT(3)*'Bulk Calculator'!O83*'Bulk Calculator'!U83*((E960*'Bulk Calculator'!M83)+(F960*SQRT(1-'Bulk Calculator'!M83^2)))/'Bulk Calculator'!J83/'Bulk Calculator'!K83*100,D960*'Bulk Calculator'!U83*'Bulk Calculator'!O83/'Bulk Calculator'!J83/'Bulk Calculator'!K83*100),"")</f>
        <v>0</v>
      </c>
      <c r="K960">
        <f>IFERROR(G960*B960*'Bulk Calculator'!J83/SQRT('Bulk Calculator'!S83)/1000,"")</f>
        <v>7.9939430195617485</v>
      </c>
      <c r="L960">
        <f>IF(OR('Bulk Calculator'!R83="",'Bulk Calculator'!S83="",G960=""),0,IF(K960&gt;='Bulk Calculator'!R83,1,0))</f>
        <v>1</v>
      </c>
      <c r="M960">
        <f>IF(AND(H960=1,I960&lt;='OS-DORAEN'!$B$6,J960&lt;='OS-DORAEN'!$B$5,L960=1),1,0)</f>
        <v>1</v>
      </c>
      <c r="N960" t="str">
        <f t="shared" si="14"/>
        <v>R/X</v>
      </c>
    </row>
    <row r="961" spans="1:14" ht="15" customHeight="1" x14ac:dyDescent="0.35">
      <c r="A961">
        <v>83</v>
      </c>
      <c r="B961">
        <v>16</v>
      </c>
      <c r="C961">
        <f>IFERROR(SUMIFS('Cable Data Master'!$G:$G,'Cable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Master'!$F:$F,B961),"")</f>
        <v>0</v>
      </c>
      <c r="D961">
        <f>IFERROR(SUMIFS('Cable Data Master'!$K:$K,'Cable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Master'!$F:$F,B961),"")</f>
        <v>0</v>
      </c>
      <c r="E961">
        <f>IFERROR(SUMIFS('Cable Data Master'!$H:$H,'Cable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Master'!$F:$F,B961),"")</f>
        <v>0</v>
      </c>
      <c r="F961">
        <f>IFERROR(SUMIFS('Cable Data Master'!$I:$I,'Cable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Master'!$F:$F,B961),"")</f>
        <v>0</v>
      </c>
      <c r="G961">
        <f>IFERROR(SUMIFS('Cable Data Master'!$J:$J,'Cable Data Master'!$A:$A,'Bulk Calculator'!$BF83,'Cable Data Master'!$B:$B,'Bulk Calculator'!$BG83,'Cable Data Master'!$C:$C,'Bulk Calculator'!$BH83,'Cable Data Master'!$D:$D,'Bulk Calculator'!$BI83,'Cable Data Master'!$E:$E,'Bulk Calculator'!$BJ83,'Cable Data Master'!$F:$F,B961),"")</f>
        <v>0</v>
      </c>
      <c r="H961">
        <f>IF(AND(ISNUMBER(C961),C961&gt;='Bulk Calculator'!U83/('Bulk Calculator'!J83*'Bulk Calculator'!L83)),1,0)</f>
        <v>1</v>
      </c>
      <c r="I961">
        <f>IFERROR(IF(AND(ISNUMBER(E961),ISNUMBER(F961),E961&gt;0,F961&gt;0),SQRT(3)*'Bulk Calculator'!O83*'Bulk Calculator'!AA83*((E961*'Bulk Calculator'!Q83)+(F961*SQRT(1-'Bulk Calculator'!Q83^2)))/'Bulk Calculator'!J83/'Bulk Calculator'!K83*100,D961*'Bulk Calculator'!AA83*'Bulk Calculator'!O83/'Bulk Calculator'!J83/'Bulk Calculator'!K83*100),"")</f>
        <v>0</v>
      </c>
      <c r="J961">
        <f>IFERROR(IF(AND(ISNUMBER(E961),ISNUMBER(F961),E961&gt;0,F961&gt;0),SQRT(3)*'Bulk Calculator'!O83*'Bulk Calculator'!U83*((E961*'Bulk Calculator'!M83)+(F961*SQRT(1-'Bulk Calculator'!M83^2)))/'Bulk Calculator'!J83/'Bulk Calculator'!K83*100,D961*'Bulk Calculator'!U83*'Bulk Calculator'!O83/'Bulk Calculator'!J83/'Bulk Calculator'!K83*100),"")</f>
        <v>0</v>
      </c>
      <c r="K961">
        <f>IFERROR(G961*B961*'Bulk Calculator'!J83/SQRT('Bulk Calculator'!S83)/1000,"")</f>
        <v>0</v>
      </c>
      <c r="L961">
        <f>IF(OR('Bulk Calculator'!R83="",'Bulk Calculator'!S83="",G961=""),0,IF(K961&gt;='Bulk Calculator'!R83,1,0))</f>
        <v>1</v>
      </c>
      <c r="M961">
        <f>IF(AND(H961=1,I961&lt;='OS-DORAEN'!$B$6,J961&lt;='OS-DORAEN'!$B$5,L961=1),1,0)</f>
        <v>1</v>
      </c>
      <c r="N961" t="str">
        <f t="shared" si="14"/>
        <v>Manufacturer VD Ref</v>
      </c>
    </row>
    <row r="962" spans="1:14" ht="15" customHeight="1" x14ac:dyDescent="0.35">
      <c r="A962">
        <v>84</v>
      </c>
      <c r="B962">
        <v>400</v>
      </c>
      <c r="C962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Master'!$F:$F,B962),"")</f>
        <v>530</v>
      </c>
      <c r="D962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Master'!$F:$F,B962),"")</f>
        <v>0.1023</v>
      </c>
      <c r="E962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Master'!$F:$F,B962),"")</f>
        <v>0.1023</v>
      </c>
      <c r="F962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Master'!$F:$F,B962),"")</f>
        <v>7.0000000000000007E-2</v>
      </c>
      <c r="G962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Master'!$F:$F,B962),"")</f>
        <v>143</v>
      </c>
      <c r="H962">
        <f>IF(AND(ISNUMBER(C962),C962&gt;='Bulk Calculator'!U84/('Bulk Calculator'!J84*'Bulk Calculator'!L84)),1,0)</f>
        <v>1</v>
      </c>
      <c r="I962">
        <f>IFERROR(IF(AND(ISNUMBER(E962),ISNUMBER(F962),E962&gt;0,F962&gt;0),SQRT(3)*'Bulk Calculator'!O84*'Bulk Calculator'!AA84*((E962*'Bulk Calculator'!Q84)+(F962*SQRT(1-'Bulk Calculator'!Q84^2)))/'Bulk Calculator'!J84/'Bulk Calculator'!K84*100,D962*'Bulk Calculator'!AA84*'Bulk Calculator'!O84/'Bulk Calculator'!J84/'Bulk Calculator'!K84*100),"")</f>
        <v>0</v>
      </c>
      <c r="J962">
        <f>IFERROR(IF(AND(ISNUMBER(E962),ISNUMBER(F962),E962&gt;0,F962&gt;0),SQRT(3)*'Bulk Calculator'!O84*'Bulk Calculator'!U84*((E962*'Bulk Calculator'!M84)+(F962*SQRT(1-'Bulk Calculator'!M84^2)))/'Bulk Calculator'!J84/'Bulk Calculator'!K84*100,D962*'Bulk Calculator'!U84*'Bulk Calculator'!O84/'Bulk Calculator'!J84/'Bulk Calculator'!K84*100),"")</f>
        <v>0</v>
      </c>
      <c r="K962">
        <f>IFERROR(G962*B962*'Bulk Calculator'!J84/SQRT('Bulk Calculator'!S84)/1000,"")</f>
        <v>127.90308831298798</v>
      </c>
      <c r="L962">
        <f>IF(OR('Bulk Calculator'!R84="",'Bulk Calculator'!S84="",G962=""),0,IF(K962&gt;='Bulk Calculator'!R84,1,0))</f>
        <v>1</v>
      </c>
      <c r="M962">
        <f>IF(AND(H962=1,I962&lt;='OS-DORAEN'!$B$6,J962&lt;='OS-DORAEN'!$B$5,L962=1),1,0)</f>
        <v>1</v>
      </c>
      <c r="N962" t="str">
        <f t="shared" ref="N962:N1025" si="15">IF(AND(ISNUMBER(E962),ISNUMBER(F962),E962&gt;0,F962&gt;0),"R/X","Manufacturer VD Ref")</f>
        <v>R/X</v>
      </c>
    </row>
    <row r="963" spans="1:14" ht="15" customHeight="1" x14ac:dyDescent="0.35">
      <c r="A963">
        <v>84</v>
      </c>
      <c r="B963">
        <v>300</v>
      </c>
      <c r="C963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Master'!$F:$F,B963),"")</f>
        <v>455</v>
      </c>
      <c r="D963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Master'!$F:$F,B963),"")</f>
        <v>0.13</v>
      </c>
      <c r="E963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Master'!$F:$F,B963),"")</f>
        <v>0.13</v>
      </c>
      <c r="F963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Master'!$F:$F,B963),"")</f>
        <v>7.0999999999999994E-2</v>
      </c>
      <c r="G963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Master'!$F:$F,B963),"")</f>
        <v>143</v>
      </c>
      <c r="H963">
        <f>IF(AND(ISNUMBER(C963),C963&gt;='Bulk Calculator'!U84/('Bulk Calculator'!J84*'Bulk Calculator'!L84)),1,0)</f>
        <v>1</v>
      </c>
      <c r="I963">
        <f>IFERROR(IF(AND(ISNUMBER(E963),ISNUMBER(F963),E963&gt;0,F963&gt;0),SQRT(3)*'Bulk Calculator'!O84*'Bulk Calculator'!AA84*((E963*'Bulk Calculator'!Q84)+(F963*SQRT(1-'Bulk Calculator'!Q84^2)))/'Bulk Calculator'!J84/'Bulk Calculator'!K84*100,D963*'Bulk Calculator'!AA84*'Bulk Calculator'!O84/'Bulk Calculator'!J84/'Bulk Calculator'!K84*100),"")</f>
        <v>0</v>
      </c>
      <c r="J963">
        <f>IFERROR(IF(AND(ISNUMBER(E963),ISNUMBER(F963),E963&gt;0,F963&gt;0),SQRT(3)*'Bulk Calculator'!O84*'Bulk Calculator'!U84*((E963*'Bulk Calculator'!M84)+(F963*SQRT(1-'Bulk Calculator'!M84^2)))/'Bulk Calculator'!J84/'Bulk Calculator'!K84*100,D963*'Bulk Calculator'!U84*'Bulk Calculator'!O84/'Bulk Calculator'!J84/'Bulk Calculator'!K84*100),"")</f>
        <v>0</v>
      </c>
      <c r="K963">
        <f>IFERROR(G963*B963*'Bulk Calculator'!J84/SQRT('Bulk Calculator'!S84)/1000,"")</f>
        <v>95.927316234740985</v>
      </c>
      <c r="L963">
        <f>IF(OR('Bulk Calculator'!R84="",'Bulk Calculator'!S84="",G963=""),0,IF(K963&gt;='Bulk Calculator'!R84,1,0))</f>
        <v>1</v>
      </c>
      <c r="M963">
        <f>IF(AND(H963=1,I963&lt;='OS-DORAEN'!$B$6,J963&lt;='OS-DORAEN'!$B$5,L963=1),1,0)</f>
        <v>1</v>
      </c>
      <c r="N963" t="str">
        <f t="shared" si="15"/>
        <v>R/X</v>
      </c>
    </row>
    <row r="964" spans="1:14" ht="15" customHeight="1" x14ac:dyDescent="0.35">
      <c r="A964">
        <v>84</v>
      </c>
      <c r="B964">
        <v>240</v>
      </c>
      <c r="C964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Master'!$F:$F,B964),"")</f>
        <v>399</v>
      </c>
      <c r="D964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Master'!$F:$F,B964),"")</f>
        <v>0.16200000000000001</v>
      </c>
      <c r="E964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Master'!$F:$F,B964),"")</f>
        <v>0.16200000000000001</v>
      </c>
      <c r="F964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Master'!$F:$F,B964),"")</f>
        <v>7.1999999999999995E-2</v>
      </c>
      <c r="G964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Master'!$F:$F,B964),"")</f>
        <v>143</v>
      </c>
      <c r="H964">
        <f>IF(AND(ISNUMBER(C964),C964&gt;='Bulk Calculator'!U84/('Bulk Calculator'!J84*'Bulk Calculator'!L84)),1,0)</f>
        <v>1</v>
      </c>
      <c r="I964">
        <f>IFERROR(IF(AND(ISNUMBER(E964),ISNUMBER(F964),E964&gt;0,F964&gt;0),SQRT(3)*'Bulk Calculator'!O84*'Bulk Calculator'!AA84*((E964*'Bulk Calculator'!Q84)+(F964*SQRT(1-'Bulk Calculator'!Q84^2)))/'Bulk Calculator'!J84/'Bulk Calculator'!K84*100,D964*'Bulk Calculator'!AA84*'Bulk Calculator'!O84/'Bulk Calculator'!J84/'Bulk Calculator'!K84*100),"")</f>
        <v>0</v>
      </c>
      <c r="J964">
        <f>IFERROR(IF(AND(ISNUMBER(E964),ISNUMBER(F964),E964&gt;0,F964&gt;0),SQRT(3)*'Bulk Calculator'!O84*'Bulk Calculator'!U84*((E964*'Bulk Calculator'!M84)+(F964*SQRT(1-'Bulk Calculator'!M84^2)))/'Bulk Calculator'!J84/'Bulk Calculator'!K84*100,D964*'Bulk Calculator'!U84*'Bulk Calculator'!O84/'Bulk Calculator'!J84/'Bulk Calculator'!K84*100),"")</f>
        <v>0</v>
      </c>
      <c r="K964">
        <f>IFERROR(G964*B964*'Bulk Calculator'!J84/SQRT('Bulk Calculator'!S84)/1000,"")</f>
        <v>76.741852987792782</v>
      </c>
      <c r="L964">
        <f>IF(OR('Bulk Calculator'!R84="",'Bulk Calculator'!S84="",G964=""),0,IF(K964&gt;='Bulk Calculator'!R84,1,0))</f>
        <v>1</v>
      </c>
      <c r="M964">
        <f>IF(AND(H964=1,I964&lt;='OS-DORAEN'!$B$6,J964&lt;='OS-DORAEN'!$B$5,L964=1),1,0)</f>
        <v>1</v>
      </c>
      <c r="N964" t="str">
        <f t="shared" si="15"/>
        <v>R/X</v>
      </c>
    </row>
    <row r="965" spans="1:14" ht="15" customHeight="1" x14ac:dyDescent="0.35">
      <c r="A965">
        <v>84</v>
      </c>
      <c r="B965">
        <v>185</v>
      </c>
      <c r="C965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Master'!$F:$F,B965),"")</f>
        <v>337</v>
      </c>
      <c r="D965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Master'!$F:$F,B965),"")</f>
        <v>0.21099999999999999</v>
      </c>
      <c r="E965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Master'!$F:$F,B965),"")</f>
        <v>0.21099999999999999</v>
      </c>
      <c r="F965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Master'!$F:$F,B965),"")</f>
        <v>7.1999999999999995E-2</v>
      </c>
      <c r="G965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Master'!$F:$F,B965),"")</f>
        <v>143</v>
      </c>
      <c r="H965">
        <f>IF(AND(ISNUMBER(C965),C965&gt;='Bulk Calculator'!U84/('Bulk Calculator'!J84*'Bulk Calculator'!L84)),1,0)</f>
        <v>1</v>
      </c>
      <c r="I965">
        <f>IFERROR(IF(AND(ISNUMBER(E965),ISNUMBER(F965),E965&gt;0,F965&gt;0),SQRT(3)*'Bulk Calculator'!O84*'Bulk Calculator'!AA84*((E965*'Bulk Calculator'!Q84)+(F965*SQRT(1-'Bulk Calculator'!Q84^2)))/'Bulk Calculator'!J84/'Bulk Calculator'!K84*100,D965*'Bulk Calculator'!AA84*'Bulk Calculator'!O84/'Bulk Calculator'!J84/'Bulk Calculator'!K84*100),"")</f>
        <v>0</v>
      </c>
      <c r="J965">
        <f>IFERROR(IF(AND(ISNUMBER(E965),ISNUMBER(F965),E965&gt;0,F965&gt;0),SQRT(3)*'Bulk Calculator'!O84*'Bulk Calculator'!U84*((E965*'Bulk Calculator'!M84)+(F965*SQRT(1-'Bulk Calculator'!M84^2)))/'Bulk Calculator'!J84/'Bulk Calculator'!K84*100,D965*'Bulk Calculator'!U84*'Bulk Calculator'!O84/'Bulk Calculator'!J84/'Bulk Calculator'!K84*100),"")</f>
        <v>0</v>
      </c>
      <c r="K965">
        <f>IFERROR(G965*B965*'Bulk Calculator'!J84/SQRT('Bulk Calculator'!S84)/1000,"")</f>
        <v>59.155178344756941</v>
      </c>
      <c r="L965">
        <f>IF(OR('Bulk Calculator'!R84="",'Bulk Calculator'!S84="",G965=""),0,IF(K965&gt;='Bulk Calculator'!R84,1,0))</f>
        <v>1</v>
      </c>
      <c r="M965">
        <f>IF(AND(H965=1,I965&lt;='OS-DORAEN'!$B$6,J965&lt;='OS-DORAEN'!$B$5,L965=1),1,0)</f>
        <v>1</v>
      </c>
      <c r="N965" t="str">
        <f t="shared" si="15"/>
        <v>R/X</v>
      </c>
    </row>
    <row r="966" spans="1:14" ht="15" customHeight="1" x14ac:dyDescent="0.35">
      <c r="A966">
        <v>84</v>
      </c>
      <c r="B966">
        <v>150</v>
      </c>
      <c r="C966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Master'!$F:$F,B966),"")</f>
        <v>292</v>
      </c>
      <c r="D966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Master'!$F:$F,B966),"")</f>
        <v>0.26500000000000001</v>
      </c>
      <c r="E966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Master'!$F:$F,B966),"")</f>
        <v>0.26500000000000001</v>
      </c>
      <c r="F966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Master'!$F:$F,B966),"")</f>
        <v>7.1999999999999995E-2</v>
      </c>
      <c r="G966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Master'!$F:$F,B966),"")</f>
        <v>143</v>
      </c>
      <c r="H966">
        <f>IF(AND(ISNUMBER(C966),C966&gt;='Bulk Calculator'!U84/('Bulk Calculator'!J84*'Bulk Calculator'!L84)),1,0)</f>
        <v>1</v>
      </c>
      <c r="I966">
        <f>IFERROR(IF(AND(ISNUMBER(E966),ISNUMBER(F966),E966&gt;0,F966&gt;0),SQRT(3)*'Bulk Calculator'!O84*'Bulk Calculator'!AA84*((E966*'Bulk Calculator'!Q84)+(F966*SQRT(1-'Bulk Calculator'!Q84^2)))/'Bulk Calculator'!J84/'Bulk Calculator'!K84*100,D966*'Bulk Calculator'!AA84*'Bulk Calculator'!O84/'Bulk Calculator'!J84/'Bulk Calculator'!K84*100),"")</f>
        <v>0</v>
      </c>
      <c r="J966">
        <f>IFERROR(IF(AND(ISNUMBER(E966),ISNUMBER(F966),E966&gt;0,F966&gt;0),SQRT(3)*'Bulk Calculator'!O84*'Bulk Calculator'!U84*((E966*'Bulk Calculator'!M84)+(F966*SQRT(1-'Bulk Calculator'!M84^2)))/'Bulk Calculator'!J84/'Bulk Calculator'!K84*100,D966*'Bulk Calculator'!U84*'Bulk Calculator'!O84/'Bulk Calculator'!J84/'Bulk Calculator'!K84*100),"")</f>
        <v>0</v>
      </c>
      <c r="K966">
        <f>IFERROR(G966*B966*'Bulk Calculator'!J84/SQRT('Bulk Calculator'!S84)/1000,"")</f>
        <v>47.963658117370493</v>
      </c>
      <c r="L966">
        <f>IF(OR('Bulk Calculator'!R84="",'Bulk Calculator'!S84="",G966=""),0,IF(K966&gt;='Bulk Calculator'!R84,1,0))</f>
        <v>1</v>
      </c>
      <c r="M966">
        <f>IF(AND(H966=1,I966&lt;='OS-DORAEN'!$B$6,J966&lt;='OS-DORAEN'!$B$5,L966=1),1,0)</f>
        <v>1</v>
      </c>
      <c r="N966" t="str">
        <f t="shared" si="15"/>
        <v>R/X</v>
      </c>
    </row>
    <row r="967" spans="1:14" ht="15" customHeight="1" x14ac:dyDescent="0.35">
      <c r="A967">
        <v>84</v>
      </c>
      <c r="B967">
        <v>120</v>
      </c>
      <c r="C967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Master'!$F:$F,B967),"")</f>
        <v>257</v>
      </c>
      <c r="D967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Master'!$F:$F,B967),"")</f>
        <v>0.32500000000000001</v>
      </c>
      <c r="E967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Master'!$F:$F,B967),"")</f>
        <v>0.32500000000000001</v>
      </c>
      <c r="F967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Master'!$F:$F,B967),"")</f>
        <v>7.1999999999999995E-2</v>
      </c>
      <c r="G967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Master'!$F:$F,B967),"")</f>
        <v>143</v>
      </c>
      <c r="H967">
        <f>IF(AND(ISNUMBER(C967),C967&gt;='Bulk Calculator'!U84/('Bulk Calculator'!J84*'Bulk Calculator'!L84)),1,0)</f>
        <v>1</v>
      </c>
      <c r="I967">
        <f>IFERROR(IF(AND(ISNUMBER(E967),ISNUMBER(F967),E967&gt;0,F967&gt;0),SQRT(3)*'Bulk Calculator'!O84*'Bulk Calculator'!AA84*((E967*'Bulk Calculator'!Q84)+(F967*SQRT(1-'Bulk Calculator'!Q84^2)))/'Bulk Calculator'!J84/'Bulk Calculator'!K84*100,D967*'Bulk Calculator'!AA84*'Bulk Calculator'!O84/'Bulk Calculator'!J84/'Bulk Calculator'!K84*100),"")</f>
        <v>0</v>
      </c>
      <c r="J967">
        <f>IFERROR(IF(AND(ISNUMBER(E967),ISNUMBER(F967),E967&gt;0,F967&gt;0),SQRT(3)*'Bulk Calculator'!O84*'Bulk Calculator'!U84*((E967*'Bulk Calculator'!M84)+(F967*SQRT(1-'Bulk Calculator'!M84^2)))/'Bulk Calculator'!J84/'Bulk Calculator'!K84*100,D967*'Bulk Calculator'!U84*'Bulk Calculator'!O84/'Bulk Calculator'!J84/'Bulk Calculator'!K84*100),"")</f>
        <v>0</v>
      </c>
      <c r="K967">
        <f>IFERROR(G967*B967*'Bulk Calculator'!J84/SQRT('Bulk Calculator'!S84)/1000,"")</f>
        <v>38.370926493896391</v>
      </c>
      <c r="L967">
        <f>IF(OR('Bulk Calculator'!R84="",'Bulk Calculator'!S84="",G967=""),0,IF(K967&gt;='Bulk Calculator'!R84,1,0))</f>
        <v>1</v>
      </c>
      <c r="M967">
        <f>IF(AND(H967=1,I967&lt;='OS-DORAEN'!$B$6,J967&lt;='OS-DORAEN'!$B$5,L967=1),1,0)</f>
        <v>1</v>
      </c>
      <c r="N967" t="str">
        <f t="shared" si="15"/>
        <v>R/X</v>
      </c>
    </row>
    <row r="968" spans="1:14" ht="15" customHeight="1" x14ac:dyDescent="0.35">
      <c r="A968">
        <v>84</v>
      </c>
      <c r="B968">
        <v>95</v>
      </c>
      <c r="C968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Master'!$F:$F,B968),"")</f>
        <v>221</v>
      </c>
      <c r="D968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Master'!$F:$F,B968),"")</f>
        <v>0.41</v>
      </c>
      <c r="E968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Master'!$F:$F,B968),"")</f>
        <v>0.41</v>
      </c>
      <c r="F968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Master'!$F:$F,B968),"")</f>
        <v>7.3999999999999996E-2</v>
      </c>
      <c r="G968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Master'!$F:$F,B968),"")</f>
        <v>143</v>
      </c>
      <c r="H968">
        <f>IF(AND(ISNUMBER(C968),C968&gt;='Bulk Calculator'!U84/('Bulk Calculator'!J84*'Bulk Calculator'!L84)),1,0)</f>
        <v>1</v>
      </c>
      <c r="I968">
        <f>IFERROR(IF(AND(ISNUMBER(E968),ISNUMBER(F968),E968&gt;0,F968&gt;0),SQRT(3)*'Bulk Calculator'!O84*'Bulk Calculator'!AA84*((E968*'Bulk Calculator'!Q84)+(F968*SQRT(1-'Bulk Calculator'!Q84^2)))/'Bulk Calculator'!J84/'Bulk Calculator'!K84*100,D968*'Bulk Calculator'!AA84*'Bulk Calculator'!O84/'Bulk Calculator'!J84/'Bulk Calculator'!K84*100),"")</f>
        <v>0</v>
      </c>
      <c r="J968">
        <f>IFERROR(IF(AND(ISNUMBER(E968),ISNUMBER(F968),E968&gt;0,F968&gt;0),SQRT(3)*'Bulk Calculator'!O84*'Bulk Calculator'!U84*((E968*'Bulk Calculator'!M84)+(F968*SQRT(1-'Bulk Calculator'!M84^2)))/'Bulk Calculator'!J84/'Bulk Calculator'!K84*100,D968*'Bulk Calculator'!U84*'Bulk Calculator'!O84/'Bulk Calculator'!J84/'Bulk Calculator'!K84*100),"")</f>
        <v>0</v>
      </c>
      <c r="K968">
        <f>IFERROR(G968*B968*'Bulk Calculator'!J84/SQRT('Bulk Calculator'!S84)/1000,"")</f>
        <v>30.376983474334644</v>
      </c>
      <c r="L968">
        <f>IF(OR('Bulk Calculator'!R84="",'Bulk Calculator'!S84="",G968=""),0,IF(K968&gt;='Bulk Calculator'!R84,1,0))</f>
        <v>1</v>
      </c>
      <c r="M968">
        <f>IF(AND(H968=1,I968&lt;='OS-DORAEN'!$B$6,J968&lt;='OS-DORAEN'!$B$5,L968=1),1,0)</f>
        <v>1</v>
      </c>
      <c r="N968" t="str">
        <f t="shared" si="15"/>
        <v>R/X</v>
      </c>
    </row>
    <row r="969" spans="1:14" ht="15" customHeight="1" x14ac:dyDescent="0.35">
      <c r="A969">
        <v>84</v>
      </c>
      <c r="B969">
        <v>70</v>
      </c>
      <c r="C969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Master'!$F:$F,B969),"")</f>
        <v>179</v>
      </c>
      <c r="D969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Master'!$F:$F,B969),"")</f>
        <v>0.56699999999999995</v>
      </c>
      <c r="E969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Master'!$F:$F,B969),"")</f>
        <v>0.56699999999999995</v>
      </c>
      <c r="F969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Master'!$F:$F,B969),"")</f>
        <v>7.6999999999999999E-2</v>
      </c>
      <c r="G969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Master'!$F:$F,B969),"")</f>
        <v>143</v>
      </c>
      <c r="H969">
        <f>IF(AND(ISNUMBER(C969),C969&gt;='Bulk Calculator'!U84/('Bulk Calculator'!J84*'Bulk Calculator'!L84)),1,0)</f>
        <v>1</v>
      </c>
      <c r="I969">
        <f>IFERROR(IF(AND(ISNUMBER(E969),ISNUMBER(F969),E969&gt;0,F969&gt;0),SQRT(3)*'Bulk Calculator'!O84*'Bulk Calculator'!AA84*((E969*'Bulk Calculator'!Q84)+(F969*SQRT(1-'Bulk Calculator'!Q84^2)))/'Bulk Calculator'!J84/'Bulk Calculator'!K84*100,D969*'Bulk Calculator'!AA84*'Bulk Calculator'!O84/'Bulk Calculator'!J84/'Bulk Calculator'!K84*100),"")</f>
        <v>0</v>
      </c>
      <c r="J969">
        <f>IFERROR(IF(AND(ISNUMBER(E969),ISNUMBER(F969),E969&gt;0,F969&gt;0),SQRT(3)*'Bulk Calculator'!O84*'Bulk Calculator'!U84*((E969*'Bulk Calculator'!M84)+(F969*SQRT(1-'Bulk Calculator'!M84^2)))/'Bulk Calculator'!J84/'Bulk Calculator'!K84*100,D969*'Bulk Calculator'!U84*'Bulk Calculator'!O84/'Bulk Calculator'!J84/'Bulk Calculator'!K84*100),"")</f>
        <v>0</v>
      </c>
      <c r="K969">
        <f>IFERROR(G969*B969*'Bulk Calculator'!J84/SQRT('Bulk Calculator'!S84)/1000,"")</f>
        <v>22.383040454772893</v>
      </c>
      <c r="L969">
        <f>IF(OR('Bulk Calculator'!R84="",'Bulk Calculator'!S84="",G969=""),0,IF(K969&gt;='Bulk Calculator'!R84,1,0))</f>
        <v>1</v>
      </c>
      <c r="M969">
        <f>IF(AND(H969=1,I969&lt;='OS-DORAEN'!$B$6,J969&lt;='OS-DORAEN'!$B$5,L969=1),1,0)</f>
        <v>1</v>
      </c>
      <c r="N969" t="str">
        <f t="shared" si="15"/>
        <v>R/X</v>
      </c>
    </row>
    <row r="970" spans="1:14" ht="15" customHeight="1" x14ac:dyDescent="0.35">
      <c r="A970">
        <v>84</v>
      </c>
      <c r="B970">
        <v>50</v>
      </c>
      <c r="C970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Master'!$F:$F,B970),"")</f>
        <v>142</v>
      </c>
      <c r="D970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Master'!$F:$F,B970),"")</f>
        <v>0.82</v>
      </c>
      <c r="E970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Master'!$F:$F,B970),"")</f>
        <v>0.82</v>
      </c>
      <c r="F970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Master'!$F:$F,B970),"")</f>
        <v>7.8E-2</v>
      </c>
      <c r="G970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Master'!$F:$F,B970),"")</f>
        <v>143</v>
      </c>
      <c r="H970">
        <f>IF(AND(ISNUMBER(C970),C970&gt;='Bulk Calculator'!U84/('Bulk Calculator'!J84*'Bulk Calculator'!L84)),1,0)</f>
        <v>1</v>
      </c>
      <c r="I970">
        <f>IFERROR(IF(AND(ISNUMBER(E970),ISNUMBER(F970),E970&gt;0,F970&gt;0),SQRT(3)*'Bulk Calculator'!O84*'Bulk Calculator'!AA84*((E970*'Bulk Calculator'!Q84)+(F970*SQRT(1-'Bulk Calculator'!Q84^2)))/'Bulk Calculator'!J84/'Bulk Calculator'!K84*100,D970*'Bulk Calculator'!AA84*'Bulk Calculator'!O84/'Bulk Calculator'!J84/'Bulk Calculator'!K84*100),"")</f>
        <v>0</v>
      </c>
      <c r="J970">
        <f>IFERROR(IF(AND(ISNUMBER(E970),ISNUMBER(F970),E970&gt;0,F970&gt;0),SQRT(3)*'Bulk Calculator'!O84*'Bulk Calculator'!U84*((E970*'Bulk Calculator'!M84)+(F970*SQRT(1-'Bulk Calculator'!M84^2)))/'Bulk Calculator'!J84/'Bulk Calculator'!K84*100,D970*'Bulk Calculator'!U84*'Bulk Calculator'!O84/'Bulk Calculator'!J84/'Bulk Calculator'!K84*100),"")</f>
        <v>0</v>
      </c>
      <c r="K970">
        <f>IFERROR(G970*B970*'Bulk Calculator'!J84/SQRT('Bulk Calculator'!S84)/1000,"")</f>
        <v>15.987886039123497</v>
      </c>
      <c r="L970">
        <f>IF(OR('Bulk Calculator'!R84="",'Bulk Calculator'!S84="",G970=""),0,IF(K970&gt;='Bulk Calculator'!R84,1,0))</f>
        <v>1</v>
      </c>
      <c r="M970">
        <f>IF(AND(H970=1,I970&lt;='OS-DORAEN'!$B$6,J970&lt;='OS-DORAEN'!$B$5,L970=1),1,0)</f>
        <v>1</v>
      </c>
      <c r="N970" t="str">
        <f t="shared" si="15"/>
        <v>R/X</v>
      </c>
    </row>
    <row r="971" spans="1:14" ht="15" customHeight="1" x14ac:dyDescent="0.35">
      <c r="A971">
        <v>84</v>
      </c>
      <c r="B971">
        <v>35</v>
      </c>
      <c r="C971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Master'!$F:$F,B971),"")</f>
        <v>117</v>
      </c>
      <c r="D971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Master'!$F:$F,B971),"")</f>
        <v>1.1100000000000001</v>
      </c>
      <c r="E971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Master'!$F:$F,B971),"")</f>
        <v>1.1100000000000001</v>
      </c>
      <c r="F971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Master'!$F:$F,B971),"")</f>
        <v>0.08</v>
      </c>
      <c r="G971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Master'!$F:$F,B971),"")</f>
        <v>143</v>
      </c>
      <c r="H971">
        <f>IF(AND(ISNUMBER(C971),C971&gt;='Bulk Calculator'!U84/('Bulk Calculator'!J84*'Bulk Calculator'!L84)),1,0)</f>
        <v>1</v>
      </c>
      <c r="I971">
        <f>IFERROR(IF(AND(ISNUMBER(E971),ISNUMBER(F971),E971&gt;0,F971&gt;0),SQRT(3)*'Bulk Calculator'!O84*'Bulk Calculator'!AA84*((E971*'Bulk Calculator'!Q84)+(F971*SQRT(1-'Bulk Calculator'!Q84^2)))/'Bulk Calculator'!J84/'Bulk Calculator'!K84*100,D971*'Bulk Calculator'!AA84*'Bulk Calculator'!O84/'Bulk Calculator'!J84/'Bulk Calculator'!K84*100),"")</f>
        <v>0</v>
      </c>
      <c r="J971">
        <f>IFERROR(IF(AND(ISNUMBER(E971),ISNUMBER(F971),E971&gt;0,F971&gt;0),SQRT(3)*'Bulk Calculator'!O84*'Bulk Calculator'!U84*((E971*'Bulk Calculator'!M84)+(F971*SQRT(1-'Bulk Calculator'!M84^2)))/'Bulk Calculator'!J84/'Bulk Calculator'!K84*100,D971*'Bulk Calculator'!U84*'Bulk Calculator'!O84/'Bulk Calculator'!J84/'Bulk Calculator'!K84*100),"")</f>
        <v>0</v>
      </c>
      <c r="K971">
        <f>IFERROR(G971*B971*'Bulk Calculator'!J84/SQRT('Bulk Calculator'!S84)/1000,"")</f>
        <v>11.191520227386446</v>
      </c>
      <c r="L971">
        <f>IF(OR('Bulk Calculator'!R84="",'Bulk Calculator'!S84="",G971=""),0,IF(K971&gt;='Bulk Calculator'!R84,1,0))</f>
        <v>1</v>
      </c>
      <c r="M971">
        <f>IF(AND(H971=1,I971&lt;='OS-DORAEN'!$B$6,J971&lt;='OS-DORAEN'!$B$5,L971=1),1,0)</f>
        <v>1</v>
      </c>
      <c r="N971" t="str">
        <f t="shared" si="15"/>
        <v>R/X</v>
      </c>
    </row>
    <row r="972" spans="1:14" ht="15" customHeight="1" x14ac:dyDescent="0.35">
      <c r="A972">
        <v>84</v>
      </c>
      <c r="B972">
        <v>25</v>
      </c>
      <c r="C972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Master'!$F:$F,B972),"")</f>
        <v>96</v>
      </c>
      <c r="D972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Master'!$F:$F,B972),"")</f>
        <v>1.54</v>
      </c>
      <c r="E972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Master'!$F:$F,B972),"")</f>
        <v>1.54</v>
      </c>
      <c r="F972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Master'!$F:$F,B972),"")</f>
        <v>0.08</v>
      </c>
      <c r="G972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Master'!$F:$F,B972),"")</f>
        <v>143</v>
      </c>
      <c r="H972">
        <f>IF(AND(ISNUMBER(C972),C972&gt;='Bulk Calculator'!U84/('Bulk Calculator'!J84*'Bulk Calculator'!L84)),1,0)</f>
        <v>1</v>
      </c>
      <c r="I972">
        <f>IFERROR(IF(AND(ISNUMBER(E972),ISNUMBER(F972),E972&gt;0,F972&gt;0),SQRT(3)*'Bulk Calculator'!O84*'Bulk Calculator'!AA84*((E972*'Bulk Calculator'!Q84)+(F972*SQRT(1-'Bulk Calculator'!Q84^2)))/'Bulk Calculator'!J84/'Bulk Calculator'!K84*100,D972*'Bulk Calculator'!AA84*'Bulk Calculator'!O84/'Bulk Calculator'!J84/'Bulk Calculator'!K84*100),"")</f>
        <v>0</v>
      </c>
      <c r="J972">
        <f>IFERROR(IF(AND(ISNUMBER(E972),ISNUMBER(F972),E972&gt;0,F972&gt;0),SQRT(3)*'Bulk Calculator'!O84*'Bulk Calculator'!U84*((E972*'Bulk Calculator'!M84)+(F972*SQRT(1-'Bulk Calculator'!M84^2)))/'Bulk Calculator'!J84/'Bulk Calculator'!K84*100,D972*'Bulk Calculator'!U84*'Bulk Calculator'!O84/'Bulk Calculator'!J84/'Bulk Calculator'!K84*100),"")</f>
        <v>0</v>
      </c>
      <c r="K972">
        <f>IFERROR(G972*B972*'Bulk Calculator'!J84/SQRT('Bulk Calculator'!S84)/1000,"")</f>
        <v>7.9939430195617485</v>
      </c>
      <c r="L972">
        <f>IF(OR('Bulk Calculator'!R84="",'Bulk Calculator'!S84="",G972=""),0,IF(K972&gt;='Bulk Calculator'!R84,1,0))</f>
        <v>1</v>
      </c>
      <c r="M972">
        <f>IF(AND(H972=1,I972&lt;='OS-DORAEN'!$B$6,J972&lt;='OS-DORAEN'!$B$5,L972=1),1,0)</f>
        <v>1</v>
      </c>
      <c r="N972" t="str">
        <f t="shared" si="15"/>
        <v>R/X</v>
      </c>
    </row>
    <row r="973" spans="1:14" ht="15" customHeight="1" x14ac:dyDescent="0.35">
      <c r="A973">
        <v>84</v>
      </c>
      <c r="B973">
        <v>16</v>
      </c>
      <c r="C973">
        <f>IFERROR(SUMIFS('Cable Data Master'!$G:$G,'Cable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Master'!$F:$F,B973),"")</f>
        <v>0</v>
      </c>
      <c r="D973">
        <f>IFERROR(SUMIFS('Cable Data Master'!$K:$K,'Cable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Master'!$F:$F,B973),"")</f>
        <v>0</v>
      </c>
      <c r="E973">
        <f>IFERROR(SUMIFS('Cable Data Master'!$H:$H,'Cable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Master'!$F:$F,B973),"")</f>
        <v>0</v>
      </c>
      <c r="F973">
        <f>IFERROR(SUMIFS('Cable Data Master'!$I:$I,'Cable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Master'!$F:$F,B973),"")</f>
        <v>0</v>
      </c>
      <c r="G973">
        <f>IFERROR(SUMIFS('Cable Data Master'!$J:$J,'Cable Data Master'!$A:$A,'Bulk Calculator'!$BF84,'Cable Data Master'!$B:$B,'Bulk Calculator'!$BG84,'Cable Data Master'!$C:$C,'Bulk Calculator'!$BH84,'Cable Data Master'!$D:$D,'Bulk Calculator'!$BI84,'Cable Data Master'!$E:$E,'Bulk Calculator'!$BJ84,'Cable Data Master'!$F:$F,B973),"")</f>
        <v>0</v>
      </c>
      <c r="H973">
        <f>IF(AND(ISNUMBER(C973),C973&gt;='Bulk Calculator'!U84/('Bulk Calculator'!J84*'Bulk Calculator'!L84)),1,0)</f>
        <v>1</v>
      </c>
      <c r="I973">
        <f>IFERROR(IF(AND(ISNUMBER(E973),ISNUMBER(F973),E973&gt;0,F973&gt;0),SQRT(3)*'Bulk Calculator'!O84*'Bulk Calculator'!AA84*((E973*'Bulk Calculator'!Q84)+(F973*SQRT(1-'Bulk Calculator'!Q84^2)))/'Bulk Calculator'!J84/'Bulk Calculator'!K84*100,D973*'Bulk Calculator'!AA84*'Bulk Calculator'!O84/'Bulk Calculator'!J84/'Bulk Calculator'!K84*100),"")</f>
        <v>0</v>
      </c>
      <c r="J973">
        <f>IFERROR(IF(AND(ISNUMBER(E973),ISNUMBER(F973),E973&gt;0,F973&gt;0),SQRT(3)*'Bulk Calculator'!O84*'Bulk Calculator'!U84*((E973*'Bulk Calculator'!M84)+(F973*SQRT(1-'Bulk Calculator'!M84^2)))/'Bulk Calculator'!J84/'Bulk Calculator'!K84*100,D973*'Bulk Calculator'!U84*'Bulk Calculator'!O84/'Bulk Calculator'!J84/'Bulk Calculator'!K84*100),"")</f>
        <v>0</v>
      </c>
      <c r="K973">
        <f>IFERROR(G973*B973*'Bulk Calculator'!J84/SQRT('Bulk Calculator'!S84)/1000,"")</f>
        <v>0</v>
      </c>
      <c r="L973">
        <f>IF(OR('Bulk Calculator'!R84="",'Bulk Calculator'!S84="",G973=""),0,IF(K973&gt;='Bulk Calculator'!R84,1,0))</f>
        <v>1</v>
      </c>
      <c r="M973">
        <f>IF(AND(H973=1,I973&lt;='OS-DORAEN'!$B$6,J973&lt;='OS-DORAEN'!$B$5,L973=1),1,0)</f>
        <v>1</v>
      </c>
      <c r="N973" t="str">
        <f t="shared" si="15"/>
        <v>Manufacturer VD Ref</v>
      </c>
    </row>
    <row r="974" spans="1:14" ht="15" customHeight="1" x14ac:dyDescent="0.35">
      <c r="A974">
        <v>85</v>
      </c>
      <c r="B974">
        <v>400</v>
      </c>
      <c r="C974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Master'!$F:$F,B974),"")</f>
        <v>530</v>
      </c>
      <c r="D974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Master'!$F:$F,B974),"")</f>
        <v>0.1023</v>
      </c>
      <c r="E974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Master'!$F:$F,B974),"")</f>
        <v>0.1023</v>
      </c>
      <c r="F974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Master'!$F:$F,B974),"")</f>
        <v>7.0000000000000007E-2</v>
      </c>
      <c r="G974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Master'!$F:$F,B974),"")</f>
        <v>143</v>
      </c>
      <c r="H974">
        <f>IF(AND(ISNUMBER(C974),C974&gt;='Bulk Calculator'!U85/('Bulk Calculator'!J85*'Bulk Calculator'!L85)),1,0)</f>
        <v>1</v>
      </c>
      <c r="I974">
        <f>IFERROR(IF(AND(ISNUMBER(E974),ISNUMBER(F974),E974&gt;0,F974&gt;0),SQRT(3)*'Bulk Calculator'!O85*'Bulk Calculator'!AA85*((E974*'Bulk Calculator'!Q85)+(F974*SQRT(1-'Bulk Calculator'!Q85^2)))/'Bulk Calculator'!J85/'Bulk Calculator'!K85*100,D974*'Bulk Calculator'!AA85*'Bulk Calculator'!O85/'Bulk Calculator'!J85/'Bulk Calculator'!K85*100),"")</f>
        <v>0</v>
      </c>
      <c r="J974">
        <f>IFERROR(IF(AND(ISNUMBER(E974),ISNUMBER(F974),E974&gt;0,F974&gt;0),SQRT(3)*'Bulk Calculator'!O85*'Bulk Calculator'!U85*((E974*'Bulk Calculator'!M85)+(F974*SQRT(1-'Bulk Calculator'!M85^2)))/'Bulk Calculator'!J85/'Bulk Calculator'!K85*100,D974*'Bulk Calculator'!U85*'Bulk Calculator'!O85/'Bulk Calculator'!J85/'Bulk Calculator'!K85*100),"")</f>
        <v>0</v>
      </c>
      <c r="K974">
        <f>IFERROR(G974*B974*'Bulk Calculator'!J85/SQRT('Bulk Calculator'!S85)/1000,"")</f>
        <v>127.90308831298798</v>
      </c>
      <c r="L974">
        <f>IF(OR('Bulk Calculator'!R85="",'Bulk Calculator'!S85="",G974=""),0,IF(K974&gt;='Bulk Calculator'!R85,1,0))</f>
        <v>1</v>
      </c>
      <c r="M974">
        <f>IF(AND(H974=1,I974&lt;='OS-DORAEN'!$B$6,J974&lt;='OS-DORAEN'!$B$5,L974=1),1,0)</f>
        <v>1</v>
      </c>
      <c r="N974" t="str">
        <f t="shared" si="15"/>
        <v>R/X</v>
      </c>
    </row>
    <row r="975" spans="1:14" ht="15" customHeight="1" x14ac:dyDescent="0.35">
      <c r="A975">
        <v>85</v>
      </c>
      <c r="B975">
        <v>300</v>
      </c>
      <c r="C975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Master'!$F:$F,B975),"")</f>
        <v>455</v>
      </c>
      <c r="D975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Master'!$F:$F,B975),"")</f>
        <v>0.13</v>
      </c>
      <c r="E975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Master'!$F:$F,B975),"")</f>
        <v>0.13</v>
      </c>
      <c r="F975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Master'!$F:$F,B975),"")</f>
        <v>7.0999999999999994E-2</v>
      </c>
      <c r="G975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Master'!$F:$F,B975),"")</f>
        <v>143</v>
      </c>
      <c r="H975">
        <f>IF(AND(ISNUMBER(C975),C975&gt;='Bulk Calculator'!U85/('Bulk Calculator'!J85*'Bulk Calculator'!L85)),1,0)</f>
        <v>1</v>
      </c>
      <c r="I975">
        <f>IFERROR(IF(AND(ISNUMBER(E975),ISNUMBER(F975),E975&gt;0,F975&gt;0),SQRT(3)*'Bulk Calculator'!O85*'Bulk Calculator'!AA85*((E975*'Bulk Calculator'!Q85)+(F975*SQRT(1-'Bulk Calculator'!Q85^2)))/'Bulk Calculator'!J85/'Bulk Calculator'!K85*100,D975*'Bulk Calculator'!AA85*'Bulk Calculator'!O85/'Bulk Calculator'!J85/'Bulk Calculator'!K85*100),"")</f>
        <v>0</v>
      </c>
      <c r="J975">
        <f>IFERROR(IF(AND(ISNUMBER(E975),ISNUMBER(F975),E975&gt;0,F975&gt;0),SQRT(3)*'Bulk Calculator'!O85*'Bulk Calculator'!U85*((E975*'Bulk Calculator'!M85)+(F975*SQRT(1-'Bulk Calculator'!M85^2)))/'Bulk Calculator'!J85/'Bulk Calculator'!K85*100,D975*'Bulk Calculator'!U85*'Bulk Calculator'!O85/'Bulk Calculator'!J85/'Bulk Calculator'!K85*100),"")</f>
        <v>0</v>
      </c>
      <c r="K975">
        <f>IFERROR(G975*B975*'Bulk Calculator'!J85/SQRT('Bulk Calculator'!S85)/1000,"")</f>
        <v>95.927316234740985</v>
      </c>
      <c r="L975">
        <f>IF(OR('Bulk Calculator'!R85="",'Bulk Calculator'!S85="",G975=""),0,IF(K975&gt;='Bulk Calculator'!R85,1,0))</f>
        <v>1</v>
      </c>
      <c r="M975">
        <f>IF(AND(H975=1,I975&lt;='OS-DORAEN'!$B$6,J975&lt;='OS-DORAEN'!$B$5,L975=1),1,0)</f>
        <v>1</v>
      </c>
      <c r="N975" t="str">
        <f t="shared" si="15"/>
        <v>R/X</v>
      </c>
    </row>
    <row r="976" spans="1:14" ht="15" customHeight="1" x14ac:dyDescent="0.35">
      <c r="A976">
        <v>85</v>
      </c>
      <c r="B976">
        <v>240</v>
      </c>
      <c r="C976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Master'!$F:$F,B976),"")</f>
        <v>399</v>
      </c>
      <c r="D976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Master'!$F:$F,B976),"")</f>
        <v>0.16200000000000001</v>
      </c>
      <c r="E976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Master'!$F:$F,B976),"")</f>
        <v>0.16200000000000001</v>
      </c>
      <c r="F976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Master'!$F:$F,B976),"")</f>
        <v>7.1999999999999995E-2</v>
      </c>
      <c r="G976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Master'!$F:$F,B976),"")</f>
        <v>143</v>
      </c>
      <c r="H976">
        <f>IF(AND(ISNUMBER(C976),C976&gt;='Bulk Calculator'!U85/('Bulk Calculator'!J85*'Bulk Calculator'!L85)),1,0)</f>
        <v>1</v>
      </c>
      <c r="I976">
        <f>IFERROR(IF(AND(ISNUMBER(E976),ISNUMBER(F976),E976&gt;0,F976&gt;0),SQRT(3)*'Bulk Calculator'!O85*'Bulk Calculator'!AA85*((E976*'Bulk Calculator'!Q85)+(F976*SQRT(1-'Bulk Calculator'!Q85^2)))/'Bulk Calculator'!J85/'Bulk Calculator'!K85*100,D976*'Bulk Calculator'!AA85*'Bulk Calculator'!O85/'Bulk Calculator'!J85/'Bulk Calculator'!K85*100),"")</f>
        <v>0</v>
      </c>
      <c r="J976">
        <f>IFERROR(IF(AND(ISNUMBER(E976),ISNUMBER(F976),E976&gt;0,F976&gt;0),SQRT(3)*'Bulk Calculator'!O85*'Bulk Calculator'!U85*((E976*'Bulk Calculator'!M85)+(F976*SQRT(1-'Bulk Calculator'!M85^2)))/'Bulk Calculator'!J85/'Bulk Calculator'!K85*100,D976*'Bulk Calculator'!U85*'Bulk Calculator'!O85/'Bulk Calculator'!J85/'Bulk Calculator'!K85*100),"")</f>
        <v>0</v>
      </c>
      <c r="K976">
        <f>IFERROR(G976*B976*'Bulk Calculator'!J85/SQRT('Bulk Calculator'!S85)/1000,"")</f>
        <v>76.741852987792782</v>
      </c>
      <c r="L976">
        <f>IF(OR('Bulk Calculator'!R85="",'Bulk Calculator'!S85="",G976=""),0,IF(K976&gt;='Bulk Calculator'!R85,1,0))</f>
        <v>1</v>
      </c>
      <c r="M976">
        <f>IF(AND(H976=1,I976&lt;='OS-DORAEN'!$B$6,J976&lt;='OS-DORAEN'!$B$5,L976=1),1,0)</f>
        <v>1</v>
      </c>
      <c r="N976" t="str">
        <f t="shared" si="15"/>
        <v>R/X</v>
      </c>
    </row>
    <row r="977" spans="1:14" ht="15" customHeight="1" x14ac:dyDescent="0.35">
      <c r="A977">
        <v>85</v>
      </c>
      <c r="B977">
        <v>185</v>
      </c>
      <c r="C977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Master'!$F:$F,B977),"")</f>
        <v>337</v>
      </c>
      <c r="D977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Master'!$F:$F,B977),"")</f>
        <v>0.21099999999999999</v>
      </c>
      <c r="E977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Master'!$F:$F,B977),"")</f>
        <v>0.21099999999999999</v>
      </c>
      <c r="F977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Master'!$F:$F,B977),"")</f>
        <v>7.1999999999999995E-2</v>
      </c>
      <c r="G977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Master'!$F:$F,B977),"")</f>
        <v>143</v>
      </c>
      <c r="H977">
        <f>IF(AND(ISNUMBER(C977),C977&gt;='Bulk Calculator'!U85/('Bulk Calculator'!J85*'Bulk Calculator'!L85)),1,0)</f>
        <v>1</v>
      </c>
      <c r="I977">
        <f>IFERROR(IF(AND(ISNUMBER(E977),ISNUMBER(F977),E977&gt;0,F977&gt;0),SQRT(3)*'Bulk Calculator'!O85*'Bulk Calculator'!AA85*((E977*'Bulk Calculator'!Q85)+(F977*SQRT(1-'Bulk Calculator'!Q85^2)))/'Bulk Calculator'!J85/'Bulk Calculator'!K85*100,D977*'Bulk Calculator'!AA85*'Bulk Calculator'!O85/'Bulk Calculator'!J85/'Bulk Calculator'!K85*100),"")</f>
        <v>0</v>
      </c>
      <c r="J977">
        <f>IFERROR(IF(AND(ISNUMBER(E977),ISNUMBER(F977),E977&gt;0,F977&gt;0),SQRT(3)*'Bulk Calculator'!O85*'Bulk Calculator'!U85*((E977*'Bulk Calculator'!M85)+(F977*SQRT(1-'Bulk Calculator'!M85^2)))/'Bulk Calculator'!J85/'Bulk Calculator'!K85*100,D977*'Bulk Calculator'!U85*'Bulk Calculator'!O85/'Bulk Calculator'!J85/'Bulk Calculator'!K85*100),"")</f>
        <v>0</v>
      </c>
      <c r="K977">
        <f>IFERROR(G977*B977*'Bulk Calculator'!J85/SQRT('Bulk Calculator'!S85)/1000,"")</f>
        <v>59.155178344756941</v>
      </c>
      <c r="L977">
        <f>IF(OR('Bulk Calculator'!R85="",'Bulk Calculator'!S85="",G977=""),0,IF(K977&gt;='Bulk Calculator'!R85,1,0))</f>
        <v>1</v>
      </c>
      <c r="M977">
        <f>IF(AND(H977=1,I977&lt;='OS-DORAEN'!$B$6,J977&lt;='OS-DORAEN'!$B$5,L977=1),1,0)</f>
        <v>1</v>
      </c>
      <c r="N977" t="str">
        <f t="shared" si="15"/>
        <v>R/X</v>
      </c>
    </row>
    <row r="978" spans="1:14" ht="15" customHeight="1" x14ac:dyDescent="0.35">
      <c r="A978">
        <v>85</v>
      </c>
      <c r="B978">
        <v>150</v>
      </c>
      <c r="C978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Master'!$F:$F,B978),"")</f>
        <v>292</v>
      </c>
      <c r="D978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Master'!$F:$F,B978),"")</f>
        <v>0.26500000000000001</v>
      </c>
      <c r="E978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Master'!$F:$F,B978),"")</f>
        <v>0.26500000000000001</v>
      </c>
      <c r="F978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Master'!$F:$F,B978),"")</f>
        <v>7.1999999999999995E-2</v>
      </c>
      <c r="G978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Master'!$F:$F,B978),"")</f>
        <v>143</v>
      </c>
      <c r="H978">
        <f>IF(AND(ISNUMBER(C978),C978&gt;='Bulk Calculator'!U85/('Bulk Calculator'!J85*'Bulk Calculator'!L85)),1,0)</f>
        <v>1</v>
      </c>
      <c r="I978">
        <f>IFERROR(IF(AND(ISNUMBER(E978),ISNUMBER(F978),E978&gt;0,F978&gt;0),SQRT(3)*'Bulk Calculator'!O85*'Bulk Calculator'!AA85*((E978*'Bulk Calculator'!Q85)+(F978*SQRT(1-'Bulk Calculator'!Q85^2)))/'Bulk Calculator'!J85/'Bulk Calculator'!K85*100,D978*'Bulk Calculator'!AA85*'Bulk Calculator'!O85/'Bulk Calculator'!J85/'Bulk Calculator'!K85*100),"")</f>
        <v>0</v>
      </c>
      <c r="J978">
        <f>IFERROR(IF(AND(ISNUMBER(E978),ISNUMBER(F978),E978&gt;0,F978&gt;0),SQRT(3)*'Bulk Calculator'!O85*'Bulk Calculator'!U85*((E978*'Bulk Calculator'!M85)+(F978*SQRT(1-'Bulk Calculator'!M85^2)))/'Bulk Calculator'!J85/'Bulk Calculator'!K85*100,D978*'Bulk Calculator'!U85*'Bulk Calculator'!O85/'Bulk Calculator'!J85/'Bulk Calculator'!K85*100),"")</f>
        <v>0</v>
      </c>
      <c r="K978">
        <f>IFERROR(G978*B978*'Bulk Calculator'!J85/SQRT('Bulk Calculator'!S85)/1000,"")</f>
        <v>47.963658117370493</v>
      </c>
      <c r="L978">
        <f>IF(OR('Bulk Calculator'!R85="",'Bulk Calculator'!S85="",G978=""),0,IF(K978&gt;='Bulk Calculator'!R85,1,0))</f>
        <v>1</v>
      </c>
      <c r="M978">
        <f>IF(AND(H978=1,I978&lt;='OS-DORAEN'!$B$6,J978&lt;='OS-DORAEN'!$B$5,L978=1),1,0)</f>
        <v>1</v>
      </c>
      <c r="N978" t="str">
        <f t="shared" si="15"/>
        <v>R/X</v>
      </c>
    </row>
    <row r="979" spans="1:14" ht="15" customHeight="1" x14ac:dyDescent="0.35">
      <c r="A979">
        <v>85</v>
      </c>
      <c r="B979">
        <v>120</v>
      </c>
      <c r="C979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Master'!$F:$F,B979),"")</f>
        <v>257</v>
      </c>
      <c r="D979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Master'!$F:$F,B979),"")</f>
        <v>0.32500000000000001</v>
      </c>
      <c r="E979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Master'!$F:$F,B979),"")</f>
        <v>0.32500000000000001</v>
      </c>
      <c r="F979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Master'!$F:$F,B979),"")</f>
        <v>7.1999999999999995E-2</v>
      </c>
      <c r="G979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Master'!$F:$F,B979),"")</f>
        <v>143</v>
      </c>
      <c r="H979">
        <f>IF(AND(ISNUMBER(C979),C979&gt;='Bulk Calculator'!U85/('Bulk Calculator'!J85*'Bulk Calculator'!L85)),1,0)</f>
        <v>1</v>
      </c>
      <c r="I979">
        <f>IFERROR(IF(AND(ISNUMBER(E979),ISNUMBER(F979),E979&gt;0,F979&gt;0),SQRT(3)*'Bulk Calculator'!O85*'Bulk Calculator'!AA85*((E979*'Bulk Calculator'!Q85)+(F979*SQRT(1-'Bulk Calculator'!Q85^2)))/'Bulk Calculator'!J85/'Bulk Calculator'!K85*100,D979*'Bulk Calculator'!AA85*'Bulk Calculator'!O85/'Bulk Calculator'!J85/'Bulk Calculator'!K85*100),"")</f>
        <v>0</v>
      </c>
      <c r="J979">
        <f>IFERROR(IF(AND(ISNUMBER(E979),ISNUMBER(F979),E979&gt;0,F979&gt;0),SQRT(3)*'Bulk Calculator'!O85*'Bulk Calculator'!U85*((E979*'Bulk Calculator'!M85)+(F979*SQRT(1-'Bulk Calculator'!M85^2)))/'Bulk Calculator'!J85/'Bulk Calculator'!K85*100,D979*'Bulk Calculator'!U85*'Bulk Calculator'!O85/'Bulk Calculator'!J85/'Bulk Calculator'!K85*100),"")</f>
        <v>0</v>
      </c>
      <c r="K979">
        <f>IFERROR(G979*B979*'Bulk Calculator'!J85/SQRT('Bulk Calculator'!S85)/1000,"")</f>
        <v>38.370926493896391</v>
      </c>
      <c r="L979">
        <f>IF(OR('Bulk Calculator'!R85="",'Bulk Calculator'!S85="",G979=""),0,IF(K979&gt;='Bulk Calculator'!R85,1,0))</f>
        <v>1</v>
      </c>
      <c r="M979">
        <f>IF(AND(H979=1,I979&lt;='OS-DORAEN'!$B$6,J979&lt;='OS-DORAEN'!$B$5,L979=1),1,0)</f>
        <v>1</v>
      </c>
      <c r="N979" t="str">
        <f t="shared" si="15"/>
        <v>R/X</v>
      </c>
    </row>
    <row r="980" spans="1:14" ht="15" customHeight="1" x14ac:dyDescent="0.35">
      <c r="A980">
        <v>85</v>
      </c>
      <c r="B980">
        <v>95</v>
      </c>
      <c r="C980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Master'!$F:$F,B980),"")</f>
        <v>221</v>
      </c>
      <c r="D980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Master'!$F:$F,B980),"")</f>
        <v>0.41</v>
      </c>
      <c r="E980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Master'!$F:$F,B980),"")</f>
        <v>0.41</v>
      </c>
      <c r="F980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Master'!$F:$F,B980),"")</f>
        <v>7.3999999999999996E-2</v>
      </c>
      <c r="G980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Master'!$F:$F,B980),"")</f>
        <v>143</v>
      </c>
      <c r="H980">
        <f>IF(AND(ISNUMBER(C980),C980&gt;='Bulk Calculator'!U85/('Bulk Calculator'!J85*'Bulk Calculator'!L85)),1,0)</f>
        <v>1</v>
      </c>
      <c r="I980">
        <f>IFERROR(IF(AND(ISNUMBER(E980),ISNUMBER(F980),E980&gt;0,F980&gt;0),SQRT(3)*'Bulk Calculator'!O85*'Bulk Calculator'!AA85*((E980*'Bulk Calculator'!Q85)+(F980*SQRT(1-'Bulk Calculator'!Q85^2)))/'Bulk Calculator'!J85/'Bulk Calculator'!K85*100,D980*'Bulk Calculator'!AA85*'Bulk Calculator'!O85/'Bulk Calculator'!J85/'Bulk Calculator'!K85*100),"")</f>
        <v>0</v>
      </c>
      <c r="J980">
        <f>IFERROR(IF(AND(ISNUMBER(E980),ISNUMBER(F980),E980&gt;0,F980&gt;0),SQRT(3)*'Bulk Calculator'!O85*'Bulk Calculator'!U85*((E980*'Bulk Calculator'!M85)+(F980*SQRT(1-'Bulk Calculator'!M85^2)))/'Bulk Calculator'!J85/'Bulk Calculator'!K85*100,D980*'Bulk Calculator'!U85*'Bulk Calculator'!O85/'Bulk Calculator'!J85/'Bulk Calculator'!K85*100),"")</f>
        <v>0</v>
      </c>
      <c r="K980">
        <f>IFERROR(G980*B980*'Bulk Calculator'!J85/SQRT('Bulk Calculator'!S85)/1000,"")</f>
        <v>30.376983474334644</v>
      </c>
      <c r="L980">
        <f>IF(OR('Bulk Calculator'!R85="",'Bulk Calculator'!S85="",G980=""),0,IF(K980&gt;='Bulk Calculator'!R85,1,0))</f>
        <v>1</v>
      </c>
      <c r="M980">
        <f>IF(AND(H980=1,I980&lt;='OS-DORAEN'!$B$6,J980&lt;='OS-DORAEN'!$B$5,L980=1),1,0)</f>
        <v>1</v>
      </c>
      <c r="N980" t="str">
        <f t="shared" si="15"/>
        <v>R/X</v>
      </c>
    </row>
    <row r="981" spans="1:14" ht="15" customHeight="1" x14ac:dyDescent="0.35">
      <c r="A981">
        <v>85</v>
      </c>
      <c r="B981">
        <v>70</v>
      </c>
      <c r="C981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Master'!$F:$F,B981),"")</f>
        <v>179</v>
      </c>
      <c r="D981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Master'!$F:$F,B981),"")</f>
        <v>0.56699999999999995</v>
      </c>
      <c r="E981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Master'!$F:$F,B981),"")</f>
        <v>0.56699999999999995</v>
      </c>
      <c r="F981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Master'!$F:$F,B981),"")</f>
        <v>7.6999999999999999E-2</v>
      </c>
      <c r="G981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Master'!$F:$F,B981),"")</f>
        <v>143</v>
      </c>
      <c r="H981">
        <f>IF(AND(ISNUMBER(C981),C981&gt;='Bulk Calculator'!U85/('Bulk Calculator'!J85*'Bulk Calculator'!L85)),1,0)</f>
        <v>1</v>
      </c>
      <c r="I981">
        <f>IFERROR(IF(AND(ISNUMBER(E981),ISNUMBER(F981),E981&gt;0,F981&gt;0),SQRT(3)*'Bulk Calculator'!O85*'Bulk Calculator'!AA85*((E981*'Bulk Calculator'!Q85)+(F981*SQRT(1-'Bulk Calculator'!Q85^2)))/'Bulk Calculator'!J85/'Bulk Calculator'!K85*100,D981*'Bulk Calculator'!AA85*'Bulk Calculator'!O85/'Bulk Calculator'!J85/'Bulk Calculator'!K85*100),"")</f>
        <v>0</v>
      </c>
      <c r="J981">
        <f>IFERROR(IF(AND(ISNUMBER(E981),ISNUMBER(F981),E981&gt;0,F981&gt;0),SQRT(3)*'Bulk Calculator'!O85*'Bulk Calculator'!U85*((E981*'Bulk Calculator'!M85)+(F981*SQRT(1-'Bulk Calculator'!M85^2)))/'Bulk Calculator'!J85/'Bulk Calculator'!K85*100,D981*'Bulk Calculator'!U85*'Bulk Calculator'!O85/'Bulk Calculator'!J85/'Bulk Calculator'!K85*100),"")</f>
        <v>0</v>
      </c>
      <c r="K981">
        <f>IFERROR(G981*B981*'Bulk Calculator'!J85/SQRT('Bulk Calculator'!S85)/1000,"")</f>
        <v>22.383040454772893</v>
      </c>
      <c r="L981">
        <f>IF(OR('Bulk Calculator'!R85="",'Bulk Calculator'!S85="",G981=""),0,IF(K981&gt;='Bulk Calculator'!R85,1,0))</f>
        <v>1</v>
      </c>
      <c r="M981">
        <f>IF(AND(H981=1,I981&lt;='OS-DORAEN'!$B$6,J981&lt;='OS-DORAEN'!$B$5,L981=1),1,0)</f>
        <v>1</v>
      </c>
      <c r="N981" t="str">
        <f t="shared" si="15"/>
        <v>R/X</v>
      </c>
    </row>
    <row r="982" spans="1:14" ht="15" customHeight="1" x14ac:dyDescent="0.35">
      <c r="A982">
        <v>85</v>
      </c>
      <c r="B982">
        <v>50</v>
      </c>
      <c r="C982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Master'!$F:$F,B982),"")</f>
        <v>142</v>
      </c>
      <c r="D982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Master'!$F:$F,B982),"")</f>
        <v>0.82</v>
      </c>
      <c r="E982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Master'!$F:$F,B982),"")</f>
        <v>0.82</v>
      </c>
      <c r="F982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Master'!$F:$F,B982),"")</f>
        <v>7.8E-2</v>
      </c>
      <c r="G982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Master'!$F:$F,B982),"")</f>
        <v>143</v>
      </c>
      <c r="H982">
        <f>IF(AND(ISNUMBER(C982),C982&gt;='Bulk Calculator'!U85/('Bulk Calculator'!J85*'Bulk Calculator'!L85)),1,0)</f>
        <v>1</v>
      </c>
      <c r="I982">
        <f>IFERROR(IF(AND(ISNUMBER(E982),ISNUMBER(F982),E982&gt;0,F982&gt;0),SQRT(3)*'Bulk Calculator'!O85*'Bulk Calculator'!AA85*((E982*'Bulk Calculator'!Q85)+(F982*SQRT(1-'Bulk Calculator'!Q85^2)))/'Bulk Calculator'!J85/'Bulk Calculator'!K85*100,D982*'Bulk Calculator'!AA85*'Bulk Calculator'!O85/'Bulk Calculator'!J85/'Bulk Calculator'!K85*100),"")</f>
        <v>0</v>
      </c>
      <c r="J982">
        <f>IFERROR(IF(AND(ISNUMBER(E982),ISNUMBER(F982),E982&gt;0,F982&gt;0),SQRT(3)*'Bulk Calculator'!O85*'Bulk Calculator'!U85*((E982*'Bulk Calculator'!M85)+(F982*SQRT(1-'Bulk Calculator'!M85^2)))/'Bulk Calculator'!J85/'Bulk Calculator'!K85*100,D982*'Bulk Calculator'!U85*'Bulk Calculator'!O85/'Bulk Calculator'!J85/'Bulk Calculator'!K85*100),"")</f>
        <v>0</v>
      </c>
      <c r="K982">
        <f>IFERROR(G982*B982*'Bulk Calculator'!J85/SQRT('Bulk Calculator'!S85)/1000,"")</f>
        <v>15.987886039123497</v>
      </c>
      <c r="L982">
        <f>IF(OR('Bulk Calculator'!R85="",'Bulk Calculator'!S85="",G982=""),0,IF(K982&gt;='Bulk Calculator'!R85,1,0))</f>
        <v>1</v>
      </c>
      <c r="M982">
        <f>IF(AND(H982=1,I982&lt;='OS-DORAEN'!$B$6,J982&lt;='OS-DORAEN'!$B$5,L982=1),1,0)</f>
        <v>1</v>
      </c>
      <c r="N982" t="str">
        <f t="shared" si="15"/>
        <v>R/X</v>
      </c>
    </row>
    <row r="983" spans="1:14" ht="15" customHeight="1" x14ac:dyDescent="0.35">
      <c r="A983">
        <v>85</v>
      </c>
      <c r="B983">
        <v>35</v>
      </c>
      <c r="C983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Master'!$F:$F,B983),"")</f>
        <v>117</v>
      </c>
      <c r="D983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Master'!$F:$F,B983),"")</f>
        <v>1.1100000000000001</v>
      </c>
      <c r="E983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Master'!$F:$F,B983),"")</f>
        <v>1.1100000000000001</v>
      </c>
      <c r="F983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Master'!$F:$F,B983),"")</f>
        <v>0.08</v>
      </c>
      <c r="G983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Master'!$F:$F,B983),"")</f>
        <v>143</v>
      </c>
      <c r="H983">
        <f>IF(AND(ISNUMBER(C983),C983&gt;='Bulk Calculator'!U85/('Bulk Calculator'!J85*'Bulk Calculator'!L85)),1,0)</f>
        <v>1</v>
      </c>
      <c r="I983">
        <f>IFERROR(IF(AND(ISNUMBER(E983),ISNUMBER(F983),E983&gt;0,F983&gt;0),SQRT(3)*'Bulk Calculator'!O85*'Bulk Calculator'!AA85*((E983*'Bulk Calculator'!Q85)+(F983*SQRT(1-'Bulk Calculator'!Q85^2)))/'Bulk Calculator'!J85/'Bulk Calculator'!K85*100,D983*'Bulk Calculator'!AA85*'Bulk Calculator'!O85/'Bulk Calculator'!J85/'Bulk Calculator'!K85*100),"")</f>
        <v>0</v>
      </c>
      <c r="J983">
        <f>IFERROR(IF(AND(ISNUMBER(E983),ISNUMBER(F983),E983&gt;0,F983&gt;0),SQRT(3)*'Bulk Calculator'!O85*'Bulk Calculator'!U85*((E983*'Bulk Calculator'!M85)+(F983*SQRT(1-'Bulk Calculator'!M85^2)))/'Bulk Calculator'!J85/'Bulk Calculator'!K85*100,D983*'Bulk Calculator'!U85*'Bulk Calculator'!O85/'Bulk Calculator'!J85/'Bulk Calculator'!K85*100),"")</f>
        <v>0</v>
      </c>
      <c r="K983">
        <f>IFERROR(G983*B983*'Bulk Calculator'!J85/SQRT('Bulk Calculator'!S85)/1000,"")</f>
        <v>11.191520227386446</v>
      </c>
      <c r="L983">
        <f>IF(OR('Bulk Calculator'!R85="",'Bulk Calculator'!S85="",G983=""),0,IF(K983&gt;='Bulk Calculator'!R85,1,0))</f>
        <v>1</v>
      </c>
      <c r="M983">
        <f>IF(AND(H983=1,I983&lt;='OS-DORAEN'!$B$6,J983&lt;='OS-DORAEN'!$B$5,L983=1),1,0)</f>
        <v>1</v>
      </c>
      <c r="N983" t="str">
        <f t="shared" si="15"/>
        <v>R/X</v>
      </c>
    </row>
    <row r="984" spans="1:14" ht="15" customHeight="1" x14ac:dyDescent="0.35">
      <c r="A984">
        <v>85</v>
      </c>
      <c r="B984">
        <v>25</v>
      </c>
      <c r="C984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Master'!$F:$F,B984),"")</f>
        <v>96</v>
      </c>
      <c r="D984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Master'!$F:$F,B984),"")</f>
        <v>1.54</v>
      </c>
      <c r="E984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Master'!$F:$F,B984),"")</f>
        <v>1.54</v>
      </c>
      <c r="F984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Master'!$F:$F,B984),"")</f>
        <v>0.08</v>
      </c>
      <c r="G984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Master'!$F:$F,B984),"")</f>
        <v>143</v>
      </c>
      <c r="H984">
        <f>IF(AND(ISNUMBER(C984),C984&gt;='Bulk Calculator'!U85/('Bulk Calculator'!J85*'Bulk Calculator'!L85)),1,0)</f>
        <v>1</v>
      </c>
      <c r="I984">
        <f>IFERROR(IF(AND(ISNUMBER(E984),ISNUMBER(F984),E984&gt;0,F984&gt;0),SQRT(3)*'Bulk Calculator'!O85*'Bulk Calculator'!AA85*((E984*'Bulk Calculator'!Q85)+(F984*SQRT(1-'Bulk Calculator'!Q85^2)))/'Bulk Calculator'!J85/'Bulk Calculator'!K85*100,D984*'Bulk Calculator'!AA85*'Bulk Calculator'!O85/'Bulk Calculator'!J85/'Bulk Calculator'!K85*100),"")</f>
        <v>0</v>
      </c>
      <c r="J984">
        <f>IFERROR(IF(AND(ISNUMBER(E984),ISNUMBER(F984),E984&gt;0,F984&gt;0),SQRT(3)*'Bulk Calculator'!O85*'Bulk Calculator'!U85*((E984*'Bulk Calculator'!M85)+(F984*SQRT(1-'Bulk Calculator'!M85^2)))/'Bulk Calculator'!J85/'Bulk Calculator'!K85*100,D984*'Bulk Calculator'!U85*'Bulk Calculator'!O85/'Bulk Calculator'!J85/'Bulk Calculator'!K85*100),"")</f>
        <v>0</v>
      </c>
      <c r="K984">
        <f>IFERROR(G984*B984*'Bulk Calculator'!J85/SQRT('Bulk Calculator'!S85)/1000,"")</f>
        <v>7.9939430195617485</v>
      </c>
      <c r="L984">
        <f>IF(OR('Bulk Calculator'!R85="",'Bulk Calculator'!S85="",G984=""),0,IF(K984&gt;='Bulk Calculator'!R85,1,0))</f>
        <v>1</v>
      </c>
      <c r="M984">
        <f>IF(AND(H984=1,I984&lt;='OS-DORAEN'!$B$6,J984&lt;='OS-DORAEN'!$B$5,L984=1),1,0)</f>
        <v>1</v>
      </c>
      <c r="N984" t="str">
        <f t="shared" si="15"/>
        <v>R/X</v>
      </c>
    </row>
    <row r="985" spans="1:14" ht="15" customHeight="1" x14ac:dyDescent="0.35">
      <c r="A985">
        <v>85</v>
      </c>
      <c r="B985">
        <v>16</v>
      </c>
      <c r="C985">
        <f>IFERROR(SUMIFS('Cable Data Master'!$G:$G,'Cable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Master'!$F:$F,B985),"")</f>
        <v>0</v>
      </c>
      <c r="D985">
        <f>IFERROR(SUMIFS('Cable Data Master'!$K:$K,'Cable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Master'!$F:$F,B985),"")</f>
        <v>0</v>
      </c>
      <c r="E985">
        <f>IFERROR(SUMIFS('Cable Data Master'!$H:$H,'Cable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Master'!$F:$F,B985),"")</f>
        <v>0</v>
      </c>
      <c r="F985">
        <f>IFERROR(SUMIFS('Cable Data Master'!$I:$I,'Cable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Master'!$F:$F,B985),"")</f>
        <v>0</v>
      </c>
      <c r="G985">
        <f>IFERROR(SUMIFS('Cable Data Master'!$J:$J,'Cable Data Master'!$A:$A,'Bulk Calculator'!$BF85,'Cable Data Master'!$B:$B,'Bulk Calculator'!$BG85,'Cable Data Master'!$C:$C,'Bulk Calculator'!$BH85,'Cable Data Master'!$D:$D,'Bulk Calculator'!$BI85,'Cable Data Master'!$E:$E,'Bulk Calculator'!$BJ85,'Cable Data Master'!$F:$F,B985),"")</f>
        <v>0</v>
      </c>
      <c r="H985">
        <f>IF(AND(ISNUMBER(C985),C985&gt;='Bulk Calculator'!U85/('Bulk Calculator'!J85*'Bulk Calculator'!L85)),1,0)</f>
        <v>1</v>
      </c>
      <c r="I985">
        <f>IFERROR(IF(AND(ISNUMBER(E985),ISNUMBER(F985),E985&gt;0,F985&gt;0),SQRT(3)*'Bulk Calculator'!O85*'Bulk Calculator'!AA85*((E985*'Bulk Calculator'!Q85)+(F985*SQRT(1-'Bulk Calculator'!Q85^2)))/'Bulk Calculator'!J85/'Bulk Calculator'!K85*100,D985*'Bulk Calculator'!AA85*'Bulk Calculator'!O85/'Bulk Calculator'!J85/'Bulk Calculator'!K85*100),"")</f>
        <v>0</v>
      </c>
      <c r="J985">
        <f>IFERROR(IF(AND(ISNUMBER(E985),ISNUMBER(F985),E985&gt;0,F985&gt;0),SQRT(3)*'Bulk Calculator'!O85*'Bulk Calculator'!U85*((E985*'Bulk Calculator'!M85)+(F985*SQRT(1-'Bulk Calculator'!M85^2)))/'Bulk Calculator'!J85/'Bulk Calculator'!K85*100,D985*'Bulk Calculator'!U85*'Bulk Calculator'!O85/'Bulk Calculator'!J85/'Bulk Calculator'!K85*100),"")</f>
        <v>0</v>
      </c>
      <c r="K985">
        <f>IFERROR(G985*B985*'Bulk Calculator'!J85/SQRT('Bulk Calculator'!S85)/1000,"")</f>
        <v>0</v>
      </c>
      <c r="L985">
        <f>IF(OR('Bulk Calculator'!R85="",'Bulk Calculator'!S85="",G985=""),0,IF(K985&gt;='Bulk Calculator'!R85,1,0))</f>
        <v>1</v>
      </c>
      <c r="M985">
        <f>IF(AND(H985=1,I985&lt;='OS-DORAEN'!$B$6,J985&lt;='OS-DORAEN'!$B$5,L985=1),1,0)</f>
        <v>1</v>
      </c>
      <c r="N985" t="str">
        <f t="shared" si="15"/>
        <v>Manufacturer VD Ref</v>
      </c>
    </row>
    <row r="986" spans="1:14" ht="15" customHeight="1" x14ac:dyDescent="0.35">
      <c r="A986">
        <v>86</v>
      </c>
      <c r="B986">
        <v>400</v>
      </c>
      <c r="C986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Master'!$F:$F,B986),"")</f>
        <v>530</v>
      </c>
      <c r="D986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Master'!$F:$F,B986),"")</f>
        <v>0.1023</v>
      </c>
      <c r="E986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Master'!$F:$F,B986),"")</f>
        <v>0.1023</v>
      </c>
      <c r="F986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Master'!$F:$F,B986),"")</f>
        <v>7.0000000000000007E-2</v>
      </c>
      <c r="G986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Master'!$F:$F,B986),"")</f>
        <v>143</v>
      </c>
      <c r="H986">
        <f>IF(AND(ISNUMBER(C986),C986&gt;='Bulk Calculator'!U86/('Bulk Calculator'!J86*'Bulk Calculator'!L86)),1,0)</f>
        <v>1</v>
      </c>
      <c r="I986">
        <f>IFERROR(IF(AND(ISNUMBER(E986),ISNUMBER(F986),E986&gt;0,F986&gt;0),SQRT(3)*'Bulk Calculator'!O86*'Bulk Calculator'!AA86*((E986*'Bulk Calculator'!Q86)+(F986*SQRT(1-'Bulk Calculator'!Q86^2)))/'Bulk Calculator'!J86/'Bulk Calculator'!K86*100,D986*'Bulk Calculator'!AA86*'Bulk Calculator'!O86/'Bulk Calculator'!J86/'Bulk Calculator'!K86*100),"")</f>
        <v>0</v>
      </c>
      <c r="J986">
        <f>IFERROR(IF(AND(ISNUMBER(E986),ISNUMBER(F986),E986&gt;0,F986&gt;0),SQRT(3)*'Bulk Calculator'!O86*'Bulk Calculator'!U86*((E986*'Bulk Calculator'!M86)+(F986*SQRT(1-'Bulk Calculator'!M86^2)))/'Bulk Calculator'!J86/'Bulk Calculator'!K86*100,D986*'Bulk Calculator'!U86*'Bulk Calculator'!O86/'Bulk Calculator'!J86/'Bulk Calculator'!K86*100),"")</f>
        <v>0</v>
      </c>
      <c r="K986">
        <f>IFERROR(G986*B986*'Bulk Calculator'!J86/SQRT('Bulk Calculator'!S86)/1000,"")</f>
        <v>127.90308831298798</v>
      </c>
      <c r="L986">
        <f>IF(OR('Bulk Calculator'!R86="",'Bulk Calculator'!S86="",G986=""),0,IF(K986&gt;='Bulk Calculator'!R86,1,0))</f>
        <v>1</v>
      </c>
      <c r="M986">
        <f>IF(AND(H986=1,I986&lt;='OS-DORAEN'!$B$6,J986&lt;='OS-DORAEN'!$B$5,L986=1),1,0)</f>
        <v>1</v>
      </c>
      <c r="N986" t="str">
        <f t="shared" si="15"/>
        <v>R/X</v>
      </c>
    </row>
    <row r="987" spans="1:14" ht="15" customHeight="1" x14ac:dyDescent="0.35">
      <c r="A987">
        <v>86</v>
      </c>
      <c r="B987">
        <v>300</v>
      </c>
      <c r="C987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Master'!$F:$F,B987),"")</f>
        <v>455</v>
      </c>
      <c r="D987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Master'!$F:$F,B987),"")</f>
        <v>0.13</v>
      </c>
      <c r="E987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Master'!$F:$F,B987),"")</f>
        <v>0.13</v>
      </c>
      <c r="F987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Master'!$F:$F,B987),"")</f>
        <v>7.0999999999999994E-2</v>
      </c>
      <c r="G987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Master'!$F:$F,B987),"")</f>
        <v>143</v>
      </c>
      <c r="H987">
        <f>IF(AND(ISNUMBER(C987),C987&gt;='Bulk Calculator'!U86/('Bulk Calculator'!J86*'Bulk Calculator'!L86)),1,0)</f>
        <v>1</v>
      </c>
      <c r="I987">
        <f>IFERROR(IF(AND(ISNUMBER(E987),ISNUMBER(F987),E987&gt;0,F987&gt;0),SQRT(3)*'Bulk Calculator'!O86*'Bulk Calculator'!AA86*((E987*'Bulk Calculator'!Q86)+(F987*SQRT(1-'Bulk Calculator'!Q86^2)))/'Bulk Calculator'!J86/'Bulk Calculator'!K86*100,D987*'Bulk Calculator'!AA86*'Bulk Calculator'!O86/'Bulk Calculator'!J86/'Bulk Calculator'!K86*100),"")</f>
        <v>0</v>
      </c>
      <c r="J987">
        <f>IFERROR(IF(AND(ISNUMBER(E987),ISNUMBER(F987),E987&gt;0,F987&gt;0),SQRT(3)*'Bulk Calculator'!O86*'Bulk Calculator'!U86*((E987*'Bulk Calculator'!M86)+(F987*SQRT(1-'Bulk Calculator'!M86^2)))/'Bulk Calculator'!J86/'Bulk Calculator'!K86*100,D987*'Bulk Calculator'!U86*'Bulk Calculator'!O86/'Bulk Calculator'!J86/'Bulk Calculator'!K86*100),"")</f>
        <v>0</v>
      </c>
      <c r="K987">
        <f>IFERROR(G987*B987*'Bulk Calculator'!J86/SQRT('Bulk Calculator'!S86)/1000,"")</f>
        <v>95.927316234740985</v>
      </c>
      <c r="L987">
        <f>IF(OR('Bulk Calculator'!R86="",'Bulk Calculator'!S86="",G987=""),0,IF(K987&gt;='Bulk Calculator'!R86,1,0))</f>
        <v>1</v>
      </c>
      <c r="M987">
        <f>IF(AND(H987=1,I987&lt;='OS-DORAEN'!$B$6,J987&lt;='OS-DORAEN'!$B$5,L987=1),1,0)</f>
        <v>1</v>
      </c>
      <c r="N987" t="str">
        <f t="shared" si="15"/>
        <v>R/X</v>
      </c>
    </row>
    <row r="988" spans="1:14" ht="15" customHeight="1" x14ac:dyDescent="0.35">
      <c r="A988">
        <v>86</v>
      </c>
      <c r="B988">
        <v>240</v>
      </c>
      <c r="C988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Master'!$F:$F,B988),"")</f>
        <v>399</v>
      </c>
      <c r="D988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Master'!$F:$F,B988),"")</f>
        <v>0.16200000000000001</v>
      </c>
      <c r="E988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Master'!$F:$F,B988),"")</f>
        <v>0.16200000000000001</v>
      </c>
      <c r="F988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Master'!$F:$F,B988),"")</f>
        <v>7.1999999999999995E-2</v>
      </c>
      <c r="G988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Master'!$F:$F,B988),"")</f>
        <v>143</v>
      </c>
      <c r="H988">
        <f>IF(AND(ISNUMBER(C988),C988&gt;='Bulk Calculator'!U86/('Bulk Calculator'!J86*'Bulk Calculator'!L86)),1,0)</f>
        <v>1</v>
      </c>
      <c r="I988">
        <f>IFERROR(IF(AND(ISNUMBER(E988),ISNUMBER(F988),E988&gt;0,F988&gt;0),SQRT(3)*'Bulk Calculator'!O86*'Bulk Calculator'!AA86*((E988*'Bulk Calculator'!Q86)+(F988*SQRT(1-'Bulk Calculator'!Q86^2)))/'Bulk Calculator'!J86/'Bulk Calculator'!K86*100,D988*'Bulk Calculator'!AA86*'Bulk Calculator'!O86/'Bulk Calculator'!J86/'Bulk Calculator'!K86*100),"")</f>
        <v>0</v>
      </c>
      <c r="J988">
        <f>IFERROR(IF(AND(ISNUMBER(E988),ISNUMBER(F988),E988&gt;0,F988&gt;0),SQRT(3)*'Bulk Calculator'!O86*'Bulk Calculator'!U86*((E988*'Bulk Calculator'!M86)+(F988*SQRT(1-'Bulk Calculator'!M86^2)))/'Bulk Calculator'!J86/'Bulk Calculator'!K86*100,D988*'Bulk Calculator'!U86*'Bulk Calculator'!O86/'Bulk Calculator'!J86/'Bulk Calculator'!K86*100),"")</f>
        <v>0</v>
      </c>
      <c r="K988">
        <f>IFERROR(G988*B988*'Bulk Calculator'!J86/SQRT('Bulk Calculator'!S86)/1000,"")</f>
        <v>76.741852987792782</v>
      </c>
      <c r="L988">
        <f>IF(OR('Bulk Calculator'!R86="",'Bulk Calculator'!S86="",G988=""),0,IF(K988&gt;='Bulk Calculator'!R86,1,0))</f>
        <v>1</v>
      </c>
      <c r="M988">
        <f>IF(AND(H988=1,I988&lt;='OS-DORAEN'!$B$6,J988&lt;='OS-DORAEN'!$B$5,L988=1),1,0)</f>
        <v>1</v>
      </c>
      <c r="N988" t="str">
        <f t="shared" si="15"/>
        <v>R/X</v>
      </c>
    </row>
    <row r="989" spans="1:14" ht="15" customHeight="1" x14ac:dyDescent="0.35">
      <c r="A989">
        <v>86</v>
      </c>
      <c r="B989">
        <v>185</v>
      </c>
      <c r="C989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Master'!$F:$F,B989),"")</f>
        <v>337</v>
      </c>
      <c r="D989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Master'!$F:$F,B989),"")</f>
        <v>0.21099999999999999</v>
      </c>
      <c r="E989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Master'!$F:$F,B989),"")</f>
        <v>0.21099999999999999</v>
      </c>
      <c r="F989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Master'!$F:$F,B989),"")</f>
        <v>7.1999999999999995E-2</v>
      </c>
      <c r="G989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Master'!$F:$F,B989),"")</f>
        <v>143</v>
      </c>
      <c r="H989">
        <f>IF(AND(ISNUMBER(C989),C989&gt;='Bulk Calculator'!U86/('Bulk Calculator'!J86*'Bulk Calculator'!L86)),1,0)</f>
        <v>1</v>
      </c>
      <c r="I989">
        <f>IFERROR(IF(AND(ISNUMBER(E989),ISNUMBER(F989),E989&gt;0,F989&gt;0),SQRT(3)*'Bulk Calculator'!O86*'Bulk Calculator'!AA86*((E989*'Bulk Calculator'!Q86)+(F989*SQRT(1-'Bulk Calculator'!Q86^2)))/'Bulk Calculator'!J86/'Bulk Calculator'!K86*100,D989*'Bulk Calculator'!AA86*'Bulk Calculator'!O86/'Bulk Calculator'!J86/'Bulk Calculator'!K86*100),"")</f>
        <v>0</v>
      </c>
      <c r="J989">
        <f>IFERROR(IF(AND(ISNUMBER(E989),ISNUMBER(F989),E989&gt;0,F989&gt;0),SQRT(3)*'Bulk Calculator'!O86*'Bulk Calculator'!U86*((E989*'Bulk Calculator'!M86)+(F989*SQRT(1-'Bulk Calculator'!M86^2)))/'Bulk Calculator'!J86/'Bulk Calculator'!K86*100,D989*'Bulk Calculator'!U86*'Bulk Calculator'!O86/'Bulk Calculator'!J86/'Bulk Calculator'!K86*100),"")</f>
        <v>0</v>
      </c>
      <c r="K989">
        <f>IFERROR(G989*B989*'Bulk Calculator'!J86/SQRT('Bulk Calculator'!S86)/1000,"")</f>
        <v>59.155178344756941</v>
      </c>
      <c r="L989">
        <f>IF(OR('Bulk Calculator'!R86="",'Bulk Calculator'!S86="",G989=""),0,IF(K989&gt;='Bulk Calculator'!R86,1,0))</f>
        <v>1</v>
      </c>
      <c r="M989">
        <f>IF(AND(H989=1,I989&lt;='OS-DORAEN'!$B$6,J989&lt;='OS-DORAEN'!$B$5,L989=1),1,0)</f>
        <v>1</v>
      </c>
      <c r="N989" t="str">
        <f t="shared" si="15"/>
        <v>R/X</v>
      </c>
    </row>
    <row r="990" spans="1:14" ht="15" customHeight="1" x14ac:dyDescent="0.35">
      <c r="A990">
        <v>86</v>
      </c>
      <c r="B990">
        <v>150</v>
      </c>
      <c r="C990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Master'!$F:$F,B990),"")</f>
        <v>292</v>
      </c>
      <c r="D990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Master'!$F:$F,B990),"")</f>
        <v>0.26500000000000001</v>
      </c>
      <c r="E990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Master'!$F:$F,B990),"")</f>
        <v>0.26500000000000001</v>
      </c>
      <c r="F990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Master'!$F:$F,B990),"")</f>
        <v>7.1999999999999995E-2</v>
      </c>
      <c r="G990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Master'!$F:$F,B990),"")</f>
        <v>143</v>
      </c>
      <c r="H990">
        <f>IF(AND(ISNUMBER(C990),C990&gt;='Bulk Calculator'!U86/('Bulk Calculator'!J86*'Bulk Calculator'!L86)),1,0)</f>
        <v>1</v>
      </c>
      <c r="I990">
        <f>IFERROR(IF(AND(ISNUMBER(E990),ISNUMBER(F990),E990&gt;0,F990&gt;0),SQRT(3)*'Bulk Calculator'!O86*'Bulk Calculator'!AA86*((E990*'Bulk Calculator'!Q86)+(F990*SQRT(1-'Bulk Calculator'!Q86^2)))/'Bulk Calculator'!J86/'Bulk Calculator'!K86*100,D990*'Bulk Calculator'!AA86*'Bulk Calculator'!O86/'Bulk Calculator'!J86/'Bulk Calculator'!K86*100),"")</f>
        <v>0</v>
      </c>
      <c r="J990">
        <f>IFERROR(IF(AND(ISNUMBER(E990),ISNUMBER(F990),E990&gt;0,F990&gt;0),SQRT(3)*'Bulk Calculator'!O86*'Bulk Calculator'!U86*((E990*'Bulk Calculator'!M86)+(F990*SQRT(1-'Bulk Calculator'!M86^2)))/'Bulk Calculator'!J86/'Bulk Calculator'!K86*100,D990*'Bulk Calculator'!U86*'Bulk Calculator'!O86/'Bulk Calculator'!J86/'Bulk Calculator'!K86*100),"")</f>
        <v>0</v>
      </c>
      <c r="K990">
        <f>IFERROR(G990*B990*'Bulk Calculator'!J86/SQRT('Bulk Calculator'!S86)/1000,"")</f>
        <v>47.963658117370493</v>
      </c>
      <c r="L990">
        <f>IF(OR('Bulk Calculator'!R86="",'Bulk Calculator'!S86="",G990=""),0,IF(K990&gt;='Bulk Calculator'!R86,1,0))</f>
        <v>1</v>
      </c>
      <c r="M990">
        <f>IF(AND(H990=1,I990&lt;='OS-DORAEN'!$B$6,J990&lt;='OS-DORAEN'!$B$5,L990=1),1,0)</f>
        <v>1</v>
      </c>
      <c r="N990" t="str">
        <f t="shared" si="15"/>
        <v>R/X</v>
      </c>
    </row>
    <row r="991" spans="1:14" ht="15" customHeight="1" x14ac:dyDescent="0.35">
      <c r="A991">
        <v>86</v>
      </c>
      <c r="B991">
        <v>120</v>
      </c>
      <c r="C991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Master'!$F:$F,B991),"")</f>
        <v>257</v>
      </c>
      <c r="D991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Master'!$F:$F,B991),"")</f>
        <v>0.32500000000000001</v>
      </c>
      <c r="E991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Master'!$F:$F,B991),"")</f>
        <v>0.32500000000000001</v>
      </c>
      <c r="F991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Master'!$F:$F,B991),"")</f>
        <v>7.1999999999999995E-2</v>
      </c>
      <c r="G991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Master'!$F:$F,B991),"")</f>
        <v>143</v>
      </c>
      <c r="H991">
        <f>IF(AND(ISNUMBER(C991),C991&gt;='Bulk Calculator'!U86/('Bulk Calculator'!J86*'Bulk Calculator'!L86)),1,0)</f>
        <v>1</v>
      </c>
      <c r="I991">
        <f>IFERROR(IF(AND(ISNUMBER(E991),ISNUMBER(F991),E991&gt;0,F991&gt;0),SQRT(3)*'Bulk Calculator'!O86*'Bulk Calculator'!AA86*((E991*'Bulk Calculator'!Q86)+(F991*SQRT(1-'Bulk Calculator'!Q86^2)))/'Bulk Calculator'!J86/'Bulk Calculator'!K86*100,D991*'Bulk Calculator'!AA86*'Bulk Calculator'!O86/'Bulk Calculator'!J86/'Bulk Calculator'!K86*100),"")</f>
        <v>0</v>
      </c>
      <c r="J991">
        <f>IFERROR(IF(AND(ISNUMBER(E991),ISNUMBER(F991),E991&gt;0,F991&gt;0),SQRT(3)*'Bulk Calculator'!O86*'Bulk Calculator'!U86*((E991*'Bulk Calculator'!M86)+(F991*SQRT(1-'Bulk Calculator'!M86^2)))/'Bulk Calculator'!J86/'Bulk Calculator'!K86*100,D991*'Bulk Calculator'!U86*'Bulk Calculator'!O86/'Bulk Calculator'!J86/'Bulk Calculator'!K86*100),"")</f>
        <v>0</v>
      </c>
      <c r="K991">
        <f>IFERROR(G991*B991*'Bulk Calculator'!J86/SQRT('Bulk Calculator'!S86)/1000,"")</f>
        <v>38.370926493896391</v>
      </c>
      <c r="L991">
        <f>IF(OR('Bulk Calculator'!R86="",'Bulk Calculator'!S86="",G991=""),0,IF(K991&gt;='Bulk Calculator'!R86,1,0))</f>
        <v>1</v>
      </c>
      <c r="M991">
        <f>IF(AND(H991=1,I991&lt;='OS-DORAEN'!$B$6,J991&lt;='OS-DORAEN'!$B$5,L991=1),1,0)</f>
        <v>1</v>
      </c>
      <c r="N991" t="str">
        <f t="shared" si="15"/>
        <v>R/X</v>
      </c>
    </row>
    <row r="992" spans="1:14" ht="15" customHeight="1" x14ac:dyDescent="0.35">
      <c r="A992">
        <v>86</v>
      </c>
      <c r="B992">
        <v>95</v>
      </c>
      <c r="C992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Master'!$F:$F,B992),"")</f>
        <v>221</v>
      </c>
      <c r="D992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Master'!$F:$F,B992),"")</f>
        <v>0.41</v>
      </c>
      <c r="E992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Master'!$F:$F,B992),"")</f>
        <v>0.41</v>
      </c>
      <c r="F992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Master'!$F:$F,B992),"")</f>
        <v>7.3999999999999996E-2</v>
      </c>
      <c r="G992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Master'!$F:$F,B992),"")</f>
        <v>143</v>
      </c>
      <c r="H992">
        <f>IF(AND(ISNUMBER(C992),C992&gt;='Bulk Calculator'!U86/('Bulk Calculator'!J86*'Bulk Calculator'!L86)),1,0)</f>
        <v>1</v>
      </c>
      <c r="I992">
        <f>IFERROR(IF(AND(ISNUMBER(E992),ISNUMBER(F992),E992&gt;0,F992&gt;0),SQRT(3)*'Bulk Calculator'!O86*'Bulk Calculator'!AA86*((E992*'Bulk Calculator'!Q86)+(F992*SQRT(1-'Bulk Calculator'!Q86^2)))/'Bulk Calculator'!J86/'Bulk Calculator'!K86*100,D992*'Bulk Calculator'!AA86*'Bulk Calculator'!O86/'Bulk Calculator'!J86/'Bulk Calculator'!K86*100),"")</f>
        <v>0</v>
      </c>
      <c r="J992">
        <f>IFERROR(IF(AND(ISNUMBER(E992),ISNUMBER(F992),E992&gt;0,F992&gt;0),SQRT(3)*'Bulk Calculator'!O86*'Bulk Calculator'!U86*((E992*'Bulk Calculator'!M86)+(F992*SQRT(1-'Bulk Calculator'!M86^2)))/'Bulk Calculator'!J86/'Bulk Calculator'!K86*100,D992*'Bulk Calculator'!U86*'Bulk Calculator'!O86/'Bulk Calculator'!J86/'Bulk Calculator'!K86*100),"")</f>
        <v>0</v>
      </c>
      <c r="K992">
        <f>IFERROR(G992*B992*'Bulk Calculator'!J86/SQRT('Bulk Calculator'!S86)/1000,"")</f>
        <v>30.376983474334644</v>
      </c>
      <c r="L992">
        <f>IF(OR('Bulk Calculator'!R86="",'Bulk Calculator'!S86="",G992=""),0,IF(K992&gt;='Bulk Calculator'!R86,1,0))</f>
        <v>1</v>
      </c>
      <c r="M992">
        <f>IF(AND(H992=1,I992&lt;='OS-DORAEN'!$B$6,J992&lt;='OS-DORAEN'!$B$5,L992=1),1,0)</f>
        <v>1</v>
      </c>
      <c r="N992" t="str">
        <f t="shared" si="15"/>
        <v>R/X</v>
      </c>
    </row>
    <row r="993" spans="1:14" ht="15" customHeight="1" x14ac:dyDescent="0.35">
      <c r="A993">
        <v>86</v>
      </c>
      <c r="B993">
        <v>70</v>
      </c>
      <c r="C993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Master'!$F:$F,B993),"")</f>
        <v>179</v>
      </c>
      <c r="D993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Master'!$F:$F,B993),"")</f>
        <v>0.56699999999999995</v>
      </c>
      <c r="E993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Master'!$F:$F,B993),"")</f>
        <v>0.56699999999999995</v>
      </c>
      <c r="F993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Master'!$F:$F,B993),"")</f>
        <v>7.6999999999999999E-2</v>
      </c>
      <c r="G993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Master'!$F:$F,B993),"")</f>
        <v>143</v>
      </c>
      <c r="H993">
        <f>IF(AND(ISNUMBER(C993),C993&gt;='Bulk Calculator'!U86/('Bulk Calculator'!J86*'Bulk Calculator'!L86)),1,0)</f>
        <v>1</v>
      </c>
      <c r="I993">
        <f>IFERROR(IF(AND(ISNUMBER(E993),ISNUMBER(F993),E993&gt;0,F993&gt;0),SQRT(3)*'Bulk Calculator'!O86*'Bulk Calculator'!AA86*((E993*'Bulk Calculator'!Q86)+(F993*SQRT(1-'Bulk Calculator'!Q86^2)))/'Bulk Calculator'!J86/'Bulk Calculator'!K86*100,D993*'Bulk Calculator'!AA86*'Bulk Calculator'!O86/'Bulk Calculator'!J86/'Bulk Calculator'!K86*100),"")</f>
        <v>0</v>
      </c>
      <c r="J993">
        <f>IFERROR(IF(AND(ISNUMBER(E993),ISNUMBER(F993),E993&gt;0,F993&gt;0),SQRT(3)*'Bulk Calculator'!O86*'Bulk Calculator'!U86*((E993*'Bulk Calculator'!M86)+(F993*SQRT(1-'Bulk Calculator'!M86^2)))/'Bulk Calculator'!J86/'Bulk Calculator'!K86*100,D993*'Bulk Calculator'!U86*'Bulk Calculator'!O86/'Bulk Calculator'!J86/'Bulk Calculator'!K86*100),"")</f>
        <v>0</v>
      </c>
      <c r="K993">
        <f>IFERROR(G993*B993*'Bulk Calculator'!J86/SQRT('Bulk Calculator'!S86)/1000,"")</f>
        <v>22.383040454772893</v>
      </c>
      <c r="L993">
        <f>IF(OR('Bulk Calculator'!R86="",'Bulk Calculator'!S86="",G993=""),0,IF(K993&gt;='Bulk Calculator'!R86,1,0))</f>
        <v>1</v>
      </c>
      <c r="M993">
        <f>IF(AND(H993=1,I993&lt;='OS-DORAEN'!$B$6,J993&lt;='OS-DORAEN'!$B$5,L993=1),1,0)</f>
        <v>1</v>
      </c>
      <c r="N993" t="str">
        <f t="shared" si="15"/>
        <v>R/X</v>
      </c>
    </row>
    <row r="994" spans="1:14" ht="15" customHeight="1" x14ac:dyDescent="0.35">
      <c r="A994">
        <v>86</v>
      </c>
      <c r="B994">
        <v>50</v>
      </c>
      <c r="C994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Master'!$F:$F,B994),"")</f>
        <v>142</v>
      </c>
      <c r="D994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Master'!$F:$F,B994),"")</f>
        <v>0.82</v>
      </c>
      <c r="E994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Master'!$F:$F,B994),"")</f>
        <v>0.82</v>
      </c>
      <c r="F994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Master'!$F:$F,B994),"")</f>
        <v>7.8E-2</v>
      </c>
      <c r="G994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Master'!$F:$F,B994),"")</f>
        <v>143</v>
      </c>
      <c r="H994">
        <f>IF(AND(ISNUMBER(C994),C994&gt;='Bulk Calculator'!U86/('Bulk Calculator'!J86*'Bulk Calculator'!L86)),1,0)</f>
        <v>1</v>
      </c>
      <c r="I994">
        <f>IFERROR(IF(AND(ISNUMBER(E994),ISNUMBER(F994),E994&gt;0,F994&gt;0),SQRT(3)*'Bulk Calculator'!O86*'Bulk Calculator'!AA86*((E994*'Bulk Calculator'!Q86)+(F994*SQRT(1-'Bulk Calculator'!Q86^2)))/'Bulk Calculator'!J86/'Bulk Calculator'!K86*100,D994*'Bulk Calculator'!AA86*'Bulk Calculator'!O86/'Bulk Calculator'!J86/'Bulk Calculator'!K86*100),"")</f>
        <v>0</v>
      </c>
      <c r="J994">
        <f>IFERROR(IF(AND(ISNUMBER(E994),ISNUMBER(F994),E994&gt;0,F994&gt;0),SQRT(3)*'Bulk Calculator'!O86*'Bulk Calculator'!U86*((E994*'Bulk Calculator'!M86)+(F994*SQRT(1-'Bulk Calculator'!M86^2)))/'Bulk Calculator'!J86/'Bulk Calculator'!K86*100,D994*'Bulk Calculator'!U86*'Bulk Calculator'!O86/'Bulk Calculator'!J86/'Bulk Calculator'!K86*100),"")</f>
        <v>0</v>
      </c>
      <c r="K994">
        <f>IFERROR(G994*B994*'Bulk Calculator'!J86/SQRT('Bulk Calculator'!S86)/1000,"")</f>
        <v>15.987886039123497</v>
      </c>
      <c r="L994">
        <f>IF(OR('Bulk Calculator'!R86="",'Bulk Calculator'!S86="",G994=""),0,IF(K994&gt;='Bulk Calculator'!R86,1,0))</f>
        <v>1</v>
      </c>
      <c r="M994">
        <f>IF(AND(H994=1,I994&lt;='OS-DORAEN'!$B$6,J994&lt;='OS-DORAEN'!$B$5,L994=1),1,0)</f>
        <v>1</v>
      </c>
      <c r="N994" t="str">
        <f t="shared" si="15"/>
        <v>R/X</v>
      </c>
    </row>
    <row r="995" spans="1:14" ht="15" customHeight="1" x14ac:dyDescent="0.35">
      <c r="A995">
        <v>86</v>
      </c>
      <c r="B995">
        <v>35</v>
      </c>
      <c r="C995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Master'!$F:$F,B995),"")</f>
        <v>117</v>
      </c>
      <c r="D995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Master'!$F:$F,B995),"")</f>
        <v>1.1100000000000001</v>
      </c>
      <c r="E995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Master'!$F:$F,B995),"")</f>
        <v>1.1100000000000001</v>
      </c>
      <c r="F995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Master'!$F:$F,B995),"")</f>
        <v>0.08</v>
      </c>
      <c r="G995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Master'!$F:$F,B995),"")</f>
        <v>143</v>
      </c>
      <c r="H995">
        <f>IF(AND(ISNUMBER(C995),C995&gt;='Bulk Calculator'!U86/('Bulk Calculator'!J86*'Bulk Calculator'!L86)),1,0)</f>
        <v>1</v>
      </c>
      <c r="I995">
        <f>IFERROR(IF(AND(ISNUMBER(E995),ISNUMBER(F995),E995&gt;0,F995&gt;0),SQRT(3)*'Bulk Calculator'!O86*'Bulk Calculator'!AA86*((E995*'Bulk Calculator'!Q86)+(F995*SQRT(1-'Bulk Calculator'!Q86^2)))/'Bulk Calculator'!J86/'Bulk Calculator'!K86*100,D995*'Bulk Calculator'!AA86*'Bulk Calculator'!O86/'Bulk Calculator'!J86/'Bulk Calculator'!K86*100),"")</f>
        <v>0</v>
      </c>
      <c r="J995">
        <f>IFERROR(IF(AND(ISNUMBER(E995),ISNUMBER(F995),E995&gt;0,F995&gt;0),SQRT(3)*'Bulk Calculator'!O86*'Bulk Calculator'!U86*((E995*'Bulk Calculator'!M86)+(F995*SQRT(1-'Bulk Calculator'!M86^2)))/'Bulk Calculator'!J86/'Bulk Calculator'!K86*100,D995*'Bulk Calculator'!U86*'Bulk Calculator'!O86/'Bulk Calculator'!J86/'Bulk Calculator'!K86*100),"")</f>
        <v>0</v>
      </c>
      <c r="K995">
        <f>IFERROR(G995*B995*'Bulk Calculator'!J86/SQRT('Bulk Calculator'!S86)/1000,"")</f>
        <v>11.191520227386446</v>
      </c>
      <c r="L995">
        <f>IF(OR('Bulk Calculator'!R86="",'Bulk Calculator'!S86="",G995=""),0,IF(K995&gt;='Bulk Calculator'!R86,1,0))</f>
        <v>1</v>
      </c>
      <c r="M995">
        <f>IF(AND(H995=1,I995&lt;='OS-DORAEN'!$B$6,J995&lt;='OS-DORAEN'!$B$5,L995=1),1,0)</f>
        <v>1</v>
      </c>
      <c r="N995" t="str">
        <f t="shared" si="15"/>
        <v>R/X</v>
      </c>
    </row>
    <row r="996" spans="1:14" ht="15" customHeight="1" x14ac:dyDescent="0.35">
      <c r="A996">
        <v>86</v>
      </c>
      <c r="B996">
        <v>25</v>
      </c>
      <c r="C996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Master'!$F:$F,B996),"")</f>
        <v>96</v>
      </c>
      <c r="D996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Master'!$F:$F,B996),"")</f>
        <v>1.54</v>
      </c>
      <c r="E996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Master'!$F:$F,B996),"")</f>
        <v>1.54</v>
      </c>
      <c r="F996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Master'!$F:$F,B996),"")</f>
        <v>0.08</v>
      </c>
      <c r="G996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Master'!$F:$F,B996),"")</f>
        <v>143</v>
      </c>
      <c r="H996">
        <f>IF(AND(ISNUMBER(C996),C996&gt;='Bulk Calculator'!U86/('Bulk Calculator'!J86*'Bulk Calculator'!L86)),1,0)</f>
        <v>1</v>
      </c>
      <c r="I996">
        <f>IFERROR(IF(AND(ISNUMBER(E996),ISNUMBER(F996),E996&gt;0,F996&gt;0),SQRT(3)*'Bulk Calculator'!O86*'Bulk Calculator'!AA86*((E996*'Bulk Calculator'!Q86)+(F996*SQRT(1-'Bulk Calculator'!Q86^2)))/'Bulk Calculator'!J86/'Bulk Calculator'!K86*100,D996*'Bulk Calculator'!AA86*'Bulk Calculator'!O86/'Bulk Calculator'!J86/'Bulk Calculator'!K86*100),"")</f>
        <v>0</v>
      </c>
      <c r="J996">
        <f>IFERROR(IF(AND(ISNUMBER(E996),ISNUMBER(F996),E996&gt;0,F996&gt;0),SQRT(3)*'Bulk Calculator'!O86*'Bulk Calculator'!U86*((E996*'Bulk Calculator'!M86)+(F996*SQRT(1-'Bulk Calculator'!M86^2)))/'Bulk Calculator'!J86/'Bulk Calculator'!K86*100,D996*'Bulk Calculator'!U86*'Bulk Calculator'!O86/'Bulk Calculator'!J86/'Bulk Calculator'!K86*100),"")</f>
        <v>0</v>
      </c>
      <c r="K996">
        <f>IFERROR(G996*B996*'Bulk Calculator'!J86/SQRT('Bulk Calculator'!S86)/1000,"")</f>
        <v>7.9939430195617485</v>
      </c>
      <c r="L996">
        <f>IF(OR('Bulk Calculator'!R86="",'Bulk Calculator'!S86="",G996=""),0,IF(K996&gt;='Bulk Calculator'!R86,1,0))</f>
        <v>1</v>
      </c>
      <c r="M996">
        <f>IF(AND(H996=1,I996&lt;='OS-DORAEN'!$B$6,J996&lt;='OS-DORAEN'!$B$5,L996=1),1,0)</f>
        <v>1</v>
      </c>
      <c r="N996" t="str">
        <f t="shared" si="15"/>
        <v>R/X</v>
      </c>
    </row>
    <row r="997" spans="1:14" ht="15" customHeight="1" x14ac:dyDescent="0.35">
      <c r="A997">
        <v>86</v>
      </c>
      <c r="B997">
        <v>16</v>
      </c>
      <c r="C997">
        <f>IFERROR(SUMIFS('Cable Data Master'!$G:$G,'Cable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Master'!$F:$F,B997),"")</f>
        <v>0</v>
      </c>
      <c r="D997">
        <f>IFERROR(SUMIFS('Cable Data Master'!$K:$K,'Cable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Master'!$F:$F,B997),"")</f>
        <v>0</v>
      </c>
      <c r="E997">
        <f>IFERROR(SUMIFS('Cable Data Master'!$H:$H,'Cable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Master'!$F:$F,B997),"")</f>
        <v>0</v>
      </c>
      <c r="F997">
        <f>IFERROR(SUMIFS('Cable Data Master'!$I:$I,'Cable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Master'!$F:$F,B997),"")</f>
        <v>0</v>
      </c>
      <c r="G997">
        <f>IFERROR(SUMIFS('Cable Data Master'!$J:$J,'Cable Data Master'!$A:$A,'Bulk Calculator'!$BF86,'Cable Data Master'!$B:$B,'Bulk Calculator'!$BG86,'Cable Data Master'!$C:$C,'Bulk Calculator'!$BH86,'Cable Data Master'!$D:$D,'Bulk Calculator'!$BI86,'Cable Data Master'!$E:$E,'Bulk Calculator'!$BJ86,'Cable Data Master'!$F:$F,B997),"")</f>
        <v>0</v>
      </c>
      <c r="H997">
        <f>IF(AND(ISNUMBER(C997),C997&gt;='Bulk Calculator'!U86/('Bulk Calculator'!J86*'Bulk Calculator'!L86)),1,0)</f>
        <v>1</v>
      </c>
      <c r="I997">
        <f>IFERROR(IF(AND(ISNUMBER(E997),ISNUMBER(F997),E997&gt;0,F997&gt;0),SQRT(3)*'Bulk Calculator'!O86*'Bulk Calculator'!AA86*((E997*'Bulk Calculator'!Q86)+(F997*SQRT(1-'Bulk Calculator'!Q86^2)))/'Bulk Calculator'!J86/'Bulk Calculator'!K86*100,D997*'Bulk Calculator'!AA86*'Bulk Calculator'!O86/'Bulk Calculator'!J86/'Bulk Calculator'!K86*100),"")</f>
        <v>0</v>
      </c>
      <c r="J997">
        <f>IFERROR(IF(AND(ISNUMBER(E997),ISNUMBER(F997),E997&gt;0,F997&gt;0),SQRT(3)*'Bulk Calculator'!O86*'Bulk Calculator'!U86*((E997*'Bulk Calculator'!M86)+(F997*SQRT(1-'Bulk Calculator'!M86^2)))/'Bulk Calculator'!J86/'Bulk Calculator'!K86*100,D997*'Bulk Calculator'!U86*'Bulk Calculator'!O86/'Bulk Calculator'!J86/'Bulk Calculator'!K86*100),"")</f>
        <v>0</v>
      </c>
      <c r="K997">
        <f>IFERROR(G997*B997*'Bulk Calculator'!J86/SQRT('Bulk Calculator'!S86)/1000,"")</f>
        <v>0</v>
      </c>
      <c r="L997">
        <f>IF(OR('Bulk Calculator'!R86="",'Bulk Calculator'!S86="",G997=""),0,IF(K997&gt;='Bulk Calculator'!R86,1,0))</f>
        <v>1</v>
      </c>
      <c r="M997">
        <f>IF(AND(H997=1,I997&lt;='OS-DORAEN'!$B$6,J997&lt;='OS-DORAEN'!$B$5,L997=1),1,0)</f>
        <v>1</v>
      </c>
      <c r="N997" t="str">
        <f t="shared" si="15"/>
        <v>Manufacturer VD Ref</v>
      </c>
    </row>
    <row r="998" spans="1:14" ht="15" customHeight="1" x14ac:dyDescent="0.35">
      <c r="A998">
        <v>87</v>
      </c>
      <c r="B998">
        <v>400</v>
      </c>
      <c r="C998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Master'!$F:$F,B998),"")</f>
        <v>530</v>
      </c>
      <c r="D998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Master'!$F:$F,B998),"")</f>
        <v>0.1023</v>
      </c>
      <c r="E998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Master'!$F:$F,B998),"")</f>
        <v>0.1023</v>
      </c>
      <c r="F998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Master'!$F:$F,B998),"")</f>
        <v>7.0000000000000007E-2</v>
      </c>
      <c r="G998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Master'!$F:$F,B998),"")</f>
        <v>143</v>
      </c>
      <c r="H998">
        <f>IF(AND(ISNUMBER(C998),C998&gt;='Bulk Calculator'!U87/('Bulk Calculator'!J87*'Bulk Calculator'!L87)),1,0)</f>
        <v>1</v>
      </c>
      <c r="I998">
        <f>IFERROR(IF(AND(ISNUMBER(E998),ISNUMBER(F998),E998&gt;0,F998&gt;0),SQRT(3)*'Bulk Calculator'!O87*'Bulk Calculator'!AA87*((E998*'Bulk Calculator'!Q87)+(F998*SQRT(1-'Bulk Calculator'!Q87^2)))/'Bulk Calculator'!J87/'Bulk Calculator'!K87*100,D998*'Bulk Calculator'!AA87*'Bulk Calculator'!O87/'Bulk Calculator'!J87/'Bulk Calculator'!K87*100),"")</f>
        <v>0</v>
      </c>
      <c r="J998">
        <f>IFERROR(IF(AND(ISNUMBER(E998),ISNUMBER(F998),E998&gt;0,F998&gt;0),SQRT(3)*'Bulk Calculator'!O87*'Bulk Calculator'!U87*((E998*'Bulk Calculator'!M87)+(F998*SQRT(1-'Bulk Calculator'!M87^2)))/'Bulk Calculator'!J87/'Bulk Calculator'!K87*100,D998*'Bulk Calculator'!U87*'Bulk Calculator'!O87/'Bulk Calculator'!J87/'Bulk Calculator'!K87*100),"")</f>
        <v>0</v>
      </c>
      <c r="K998">
        <f>IFERROR(G998*B998*'Bulk Calculator'!J87/SQRT('Bulk Calculator'!S87)/1000,"")</f>
        <v>127.90308831298798</v>
      </c>
      <c r="L998">
        <f>IF(OR('Bulk Calculator'!R87="",'Bulk Calculator'!S87="",G998=""),0,IF(K998&gt;='Bulk Calculator'!R87,1,0))</f>
        <v>1</v>
      </c>
      <c r="M998">
        <f>IF(AND(H998=1,I998&lt;='OS-DORAEN'!$B$6,J998&lt;='OS-DORAEN'!$B$5,L998=1),1,0)</f>
        <v>1</v>
      </c>
      <c r="N998" t="str">
        <f t="shared" si="15"/>
        <v>R/X</v>
      </c>
    </row>
    <row r="999" spans="1:14" ht="15" customHeight="1" x14ac:dyDescent="0.35">
      <c r="A999">
        <v>87</v>
      </c>
      <c r="B999">
        <v>300</v>
      </c>
      <c r="C999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Master'!$F:$F,B999),"")</f>
        <v>455</v>
      </c>
      <c r="D999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Master'!$F:$F,B999),"")</f>
        <v>0.13</v>
      </c>
      <c r="E999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Master'!$F:$F,B999),"")</f>
        <v>0.13</v>
      </c>
      <c r="F999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Master'!$F:$F,B999),"")</f>
        <v>7.0999999999999994E-2</v>
      </c>
      <c r="G999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Master'!$F:$F,B999),"")</f>
        <v>143</v>
      </c>
      <c r="H999">
        <f>IF(AND(ISNUMBER(C999),C999&gt;='Bulk Calculator'!U87/('Bulk Calculator'!J87*'Bulk Calculator'!L87)),1,0)</f>
        <v>1</v>
      </c>
      <c r="I999">
        <f>IFERROR(IF(AND(ISNUMBER(E999),ISNUMBER(F999),E999&gt;0,F999&gt;0),SQRT(3)*'Bulk Calculator'!O87*'Bulk Calculator'!AA87*((E999*'Bulk Calculator'!Q87)+(F999*SQRT(1-'Bulk Calculator'!Q87^2)))/'Bulk Calculator'!J87/'Bulk Calculator'!K87*100,D999*'Bulk Calculator'!AA87*'Bulk Calculator'!O87/'Bulk Calculator'!J87/'Bulk Calculator'!K87*100),"")</f>
        <v>0</v>
      </c>
      <c r="J999">
        <f>IFERROR(IF(AND(ISNUMBER(E999),ISNUMBER(F999),E999&gt;0,F999&gt;0),SQRT(3)*'Bulk Calculator'!O87*'Bulk Calculator'!U87*((E999*'Bulk Calculator'!M87)+(F999*SQRT(1-'Bulk Calculator'!M87^2)))/'Bulk Calculator'!J87/'Bulk Calculator'!K87*100,D999*'Bulk Calculator'!U87*'Bulk Calculator'!O87/'Bulk Calculator'!J87/'Bulk Calculator'!K87*100),"")</f>
        <v>0</v>
      </c>
      <c r="K999">
        <f>IFERROR(G999*B999*'Bulk Calculator'!J87/SQRT('Bulk Calculator'!S87)/1000,"")</f>
        <v>95.927316234740985</v>
      </c>
      <c r="L999">
        <f>IF(OR('Bulk Calculator'!R87="",'Bulk Calculator'!S87="",G999=""),0,IF(K999&gt;='Bulk Calculator'!R87,1,0))</f>
        <v>1</v>
      </c>
      <c r="M999">
        <f>IF(AND(H999=1,I999&lt;='OS-DORAEN'!$B$6,J999&lt;='OS-DORAEN'!$B$5,L999=1),1,0)</f>
        <v>1</v>
      </c>
      <c r="N999" t="str">
        <f t="shared" si="15"/>
        <v>R/X</v>
      </c>
    </row>
    <row r="1000" spans="1:14" ht="15" customHeight="1" x14ac:dyDescent="0.35">
      <c r="A1000">
        <v>87</v>
      </c>
      <c r="B1000">
        <v>240</v>
      </c>
      <c r="C1000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Master'!$F:$F,B1000),"")</f>
        <v>399</v>
      </c>
      <c r="D1000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Master'!$F:$F,B1000),"")</f>
        <v>0.16200000000000001</v>
      </c>
      <c r="E1000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Master'!$F:$F,B1000),"")</f>
        <v>0.16200000000000001</v>
      </c>
      <c r="F1000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Master'!$F:$F,B1000),"")</f>
        <v>7.1999999999999995E-2</v>
      </c>
      <c r="G1000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Master'!$F:$F,B1000),"")</f>
        <v>143</v>
      </c>
      <c r="H1000">
        <f>IF(AND(ISNUMBER(C1000),C1000&gt;='Bulk Calculator'!U87/('Bulk Calculator'!J87*'Bulk Calculator'!L87)),1,0)</f>
        <v>1</v>
      </c>
      <c r="I1000">
        <f>IFERROR(IF(AND(ISNUMBER(E1000),ISNUMBER(F1000),E1000&gt;0,F1000&gt;0),SQRT(3)*'Bulk Calculator'!O87*'Bulk Calculator'!AA87*((E1000*'Bulk Calculator'!Q87)+(F1000*SQRT(1-'Bulk Calculator'!Q87^2)))/'Bulk Calculator'!J87/'Bulk Calculator'!K87*100,D1000*'Bulk Calculator'!AA87*'Bulk Calculator'!O87/'Bulk Calculator'!J87/'Bulk Calculator'!K87*100),"")</f>
        <v>0</v>
      </c>
      <c r="J1000">
        <f>IFERROR(IF(AND(ISNUMBER(E1000),ISNUMBER(F1000),E1000&gt;0,F1000&gt;0),SQRT(3)*'Bulk Calculator'!O87*'Bulk Calculator'!U87*((E1000*'Bulk Calculator'!M87)+(F1000*SQRT(1-'Bulk Calculator'!M87^2)))/'Bulk Calculator'!J87/'Bulk Calculator'!K87*100,D1000*'Bulk Calculator'!U87*'Bulk Calculator'!O87/'Bulk Calculator'!J87/'Bulk Calculator'!K87*100),"")</f>
        <v>0</v>
      </c>
      <c r="K1000">
        <f>IFERROR(G1000*B1000*'Bulk Calculator'!J87/SQRT('Bulk Calculator'!S87)/1000,"")</f>
        <v>76.741852987792782</v>
      </c>
      <c r="L1000">
        <f>IF(OR('Bulk Calculator'!R87="",'Bulk Calculator'!S87="",G1000=""),0,IF(K1000&gt;='Bulk Calculator'!R87,1,0))</f>
        <v>1</v>
      </c>
      <c r="M1000">
        <f>IF(AND(H1000=1,I1000&lt;='OS-DORAEN'!$B$6,J1000&lt;='OS-DORAEN'!$B$5,L1000=1),1,0)</f>
        <v>1</v>
      </c>
      <c r="N1000" t="str">
        <f t="shared" si="15"/>
        <v>R/X</v>
      </c>
    </row>
    <row r="1001" spans="1:14" ht="15" customHeight="1" x14ac:dyDescent="0.35">
      <c r="A1001">
        <v>87</v>
      </c>
      <c r="B1001">
        <v>185</v>
      </c>
      <c r="C1001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Master'!$F:$F,B1001),"")</f>
        <v>337</v>
      </c>
      <c r="D1001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Master'!$F:$F,B1001),"")</f>
        <v>0.21099999999999999</v>
      </c>
      <c r="E1001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Master'!$F:$F,B1001),"")</f>
        <v>0.21099999999999999</v>
      </c>
      <c r="F1001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Master'!$F:$F,B1001),"")</f>
        <v>7.1999999999999995E-2</v>
      </c>
      <c r="G1001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Master'!$F:$F,B1001),"")</f>
        <v>143</v>
      </c>
      <c r="H1001">
        <f>IF(AND(ISNUMBER(C1001),C1001&gt;='Bulk Calculator'!U87/('Bulk Calculator'!J87*'Bulk Calculator'!L87)),1,0)</f>
        <v>1</v>
      </c>
      <c r="I1001">
        <f>IFERROR(IF(AND(ISNUMBER(E1001),ISNUMBER(F1001),E1001&gt;0,F1001&gt;0),SQRT(3)*'Bulk Calculator'!O87*'Bulk Calculator'!AA87*((E1001*'Bulk Calculator'!Q87)+(F1001*SQRT(1-'Bulk Calculator'!Q87^2)))/'Bulk Calculator'!J87/'Bulk Calculator'!K87*100,D1001*'Bulk Calculator'!AA87*'Bulk Calculator'!O87/'Bulk Calculator'!J87/'Bulk Calculator'!K87*100),"")</f>
        <v>0</v>
      </c>
      <c r="J1001">
        <f>IFERROR(IF(AND(ISNUMBER(E1001),ISNUMBER(F1001),E1001&gt;0,F1001&gt;0),SQRT(3)*'Bulk Calculator'!O87*'Bulk Calculator'!U87*((E1001*'Bulk Calculator'!M87)+(F1001*SQRT(1-'Bulk Calculator'!M87^2)))/'Bulk Calculator'!J87/'Bulk Calculator'!K87*100,D1001*'Bulk Calculator'!U87*'Bulk Calculator'!O87/'Bulk Calculator'!J87/'Bulk Calculator'!K87*100),"")</f>
        <v>0</v>
      </c>
      <c r="K1001">
        <f>IFERROR(G1001*B1001*'Bulk Calculator'!J87/SQRT('Bulk Calculator'!S87)/1000,"")</f>
        <v>59.155178344756941</v>
      </c>
      <c r="L1001">
        <f>IF(OR('Bulk Calculator'!R87="",'Bulk Calculator'!S87="",G1001=""),0,IF(K1001&gt;='Bulk Calculator'!R87,1,0))</f>
        <v>1</v>
      </c>
      <c r="M1001">
        <f>IF(AND(H1001=1,I1001&lt;='OS-DORAEN'!$B$6,J1001&lt;='OS-DORAEN'!$B$5,L1001=1),1,0)</f>
        <v>1</v>
      </c>
      <c r="N1001" t="str">
        <f t="shared" si="15"/>
        <v>R/X</v>
      </c>
    </row>
    <row r="1002" spans="1:14" ht="15" customHeight="1" x14ac:dyDescent="0.35">
      <c r="A1002">
        <v>87</v>
      </c>
      <c r="B1002">
        <v>150</v>
      </c>
      <c r="C1002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Master'!$F:$F,B1002),"")</f>
        <v>292</v>
      </c>
      <c r="D1002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Master'!$F:$F,B1002),"")</f>
        <v>0.26500000000000001</v>
      </c>
      <c r="E1002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Master'!$F:$F,B1002),"")</f>
        <v>0.26500000000000001</v>
      </c>
      <c r="F1002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Master'!$F:$F,B1002),"")</f>
        <v>7.1999999999999995E-2</v>
      </c>
      <c r="G1002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Master'!$F:$F,B1002),"")</f>
        <v>143</v>
      </c>
      <c r="H1002">
        <f>IF(AND(ISNUMBER(C1002),C1002&gt;='Bulk Calculator'!U87/('Bulk Calculator'!J87*'Bulk Calculator'!L87)),1,0)</f>
        <v>1</v>
      </c>
      <c r="I1002">
        <f>IFERROR(IF(AND(ISNUMBER(E1002),ISNUMBER(F1002),E1002&gt;0,F1002&gt;0),SQRT(3)*'Bulk Calculator'!O87*'Bulk Calculator'!AA87*((E1002*'Bulk Calculator'!Q87)+(F1002*SQRT(1-'Bulk Calculator'!Q87^2)))/'Bulk Calculator'!J87/'Bulk Calculator'!K87*100,D1002*'Bulk Calculator'!AA87*'Bulk Calculator'!O87/'Bulk Calculator'!J87/'Bulk Calculator'!K87*100),"")</f>
        <v>0</v>
      </c>
      <c r="J1002">
        <f>IFERROR(IF(AND(ISNUMBER(E1002),ISNUMBER(F1002),E1002&gt;0,F1002&gt;0),SQRT(3)*'Bulk Calculator'!O87*'Bulk Calculator'!U87*((E1002*'Bulk Calculator'!M87)+(F1002*SQRT(1-'Bulk Calculator'!M87^2)))/'Bulk Calculator'!J87/'Bulk Calculator'!K87*100,D1002*'Bulk Calculator'!U87*'Bulk Calculator'!O87/'Bulk Calculator'!J87/'Bulk Calculator'!K87*100),"")</f>
        <v>0</v>
      </c>
      <c r="K1002">
        <f>IFERROR(G1002*B1002*'Bulk Calculator'!J87/SQRT('Bulk Calculator'!S87)/1000,"")</f>
        <v>47.963658117370493</v>
      </c>
      <c r="L1002">
        <f>IF(OR('Bulk Calculator'!R87="",'Bulk Calculator'!S87="",G1002=""),0,IF(K1002&gt;='Bulk Calculator'!R87,1,0))</f>
        <v>1</v>
      </c>
      <c r="M1002">
        <f>IF(AND(H1002=1,I1002&lt;='OS-DORAEN'!$B$6,J1002&lt;='OS-DORAEN'!$B$5,L1002=1),1,0)</f>
        <v>1</v>
      </c>
      <c r="N1002" t="str">
        <f t="shared" si="15"/>
        <v>R/X</v>
      </c>
    </row>
    <row r="1003" spans="1:14" ht="15" customHeight="1" x14ac:dyDescent="0.35">
      <c r="A1003">
        <v>87</v>
      </c>
      <c r="B1003">
        <v>120</v>
      </c>
      <c r="C1003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Master'!$F:$F,B1003),"")</f>
        <v>257</v>
      </c>
      <c r="D1003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Master'!$F:$F,B1003),"")</f>
        <v>0.32500000000000001</v>
      </c>
      <c r="E1003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Master'!$F:$F,B1003),"")</f>
        <v>0.32500000000000001</v>
      </c>
      <c r="F1003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Master'!$F:$F,B1003),"")</f>
        <v>7.1999999999999995E-2</v>
      </c>
      <c r="G1003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Master'!$F:$F,B1003),"")</f>
        <v>143</v>
      </c>
      <c r="H1003">
        <f>IF(AND(ISNUMBER(C1003),C1003&gt;='Bulk Calculator'!U87/('Bulk Calculator'!J87*'Bulk Calculator'!L87)),1,0)</f>
        <v>1</v>
      </c>
      <c r="I1003">
        <f>IFERROR(IF(AND(ISNUMBER(E1003),ISNUMBER(F1003),E1003&gt;0,F1003&gt;0),SQRT(3)*'Bulk Calculator'!O87*'Bulk Calculator'!AA87*((E1003*'Bulk Calculator'!Q87)+(F1003*SQRT(1-'Bulk Calculator'!Q87^2)))/'Bulk Calculator'!J87/'Bulk Calculator'!K87*100,D1003*'Bulk Calculator'!AA87*'Bulk Calculator'!O87/'Bulk Calculator'!J87/'Bulk Calculator'!K87*100),"")</f>
        <v>0</v>
      </c>
      <c r="J1003">
        <f>IFERROR(IF(AND(ISNUMBER(E1003),ISNUMBER(F1003),E1003&gt;0,F1003&gt;0),SQRT(3)*'Bulk Calculator'!O87*'Bulk Calculator'!U87*((E1003*'Bulk Calculator'!M87)+(F1003*SQRT(1-'Bulk Calculator'!M87^2)))/'Bulk Calculator'!J87/'Bulk Calculator'!K87*100,D1003*'Bulk Calculator'!U87*'Bulk Calculator'!O87/'Bulk Calculator'!J87/'Bulk Calculator'!K87*100),"")</f>
        <v>0</v>
      </c>
      <c r="K1003">
        <f>IFERROR(G1003*B1003*'Bulk Calculator'!J87/SQRT('Bulk Calculator'!S87)/1000,"")</f>
        <v>38.370926493896391</v>
      </c>
      <c r="L1003">
        <f>IF(OR('Bulk Calculator'!R87="",'Bulk Calculator'!S87="",G1003=""),0,IF(K1003&gt;='Bulk Calculator'!R87,1,0))</f>
        <v>1</v>
      </c>
      <c r="M1003">
        <f>IF(AND(H1003=1,I1003&lt;='OS-DORAEN'!$B$6,J1003&lt;='OS-DORAEN'!$B$5,L1003=1),1,0)</f>
        <v>1</v>
      </c>
      <c r="N1003" t="str">
        <f t="shared" si="15"/>
        <v>R/X</v>
      </c>
    </row>
    <row r="1004" spans="1:14" ht="15" customHeight="1" x14ac:dyDescent="0.35">
      <c r="A1004">
        <v>87</v>
      </c>
      <c r="B1004">
        <v>95</v>
      </c>
      <c r="C1004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Master'!$F:$F,B1004),"")</f>
        <v>221</v>
      </c>
      <c r="D1004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Master'!$F:$F,B1004),"")</f>
        <v>0.41</v>
      </c>
      <c r="E1004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Master'!$F:$F,B1004),"")</f>
        <v>0.41</v>
      </c>
      <c r="F1004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Master'!$F:$F,B1004),"")</f>
        <v>7.3999999999999996E-2</v>
      </c>
      <c r="G1004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Master'!$F:$F,B1004),"")</f>
        <v>143</v>
      </c>
      <c r="H1004">
        <f>IF(AND(ISNUMBER(C1004),C1004&gt;='Bulk Calculator'!U87/('Bulk Calculator'!J87*'Bulk Calculator'!L87)),1,0)</f>
        <v>1</v>
      </c>
      <c r="I1004">
        <f>IFERROR(IF(AND(ISNUMBER(E1004),ISNUMBER(F1004),E1004&gt;0,F1004&gt;0),SQRT(3)*'Bulk Calculator'!O87*'Bulk Calculator'!AA87*((E1004*'Bulk Calculator'!Q87)+(F1004*SQRT(1-'Bulk Calculator'!Q87^2)))/'Bulk Calculator'!J87/'Bulk Calculator'!K87*100,D1004*'Bulk Calculator'!AA87*'Bulk Calculator'!O87/'Bulk Calculator'!J87/'Bulk Calculator'!K87*100),"")</f>
        <v>0</v>
      </c>
      <c r="J1004">
        <f>IFERROR(IF(AND(ISNUMBER(E1004),ISNUMBER(F1004),E1004&gt;0,F1004&gt;0),SQRT(3)*'Bulk Calculator'!O87*'Bulk Calculator'!U87*((E1004*'Bulk Calculator'!M87)+(F1004*SQRT(1-'Bulk Calculator'!M87^2)))/'Bulk Calculator'!J87/'Bulk Calculator'!K87*100,D1004*'Bulk Calculator'!U87*'Bulk Calculator'!O87/'Bulk Calculator'!J87/'Bulk Calculator'!K87*100),"")</f>
        <v>0</v>
      </c>
      <c r="K1004">
        <f>IFERROR(G1004*B1004*'Bulk Calculator'!J87/SQRT('Bulk Calculator'!S87)/1000,"")</f>
        <v>30.376983474334644</v>
      </c>
      <c r="L1004">
        <f>IF(OR('Bulk Calculator'!R87="",'Bulk Calculator'!S87="",G1004=""),0,IF(K1004&gt;='Bulk Calculator'!R87,1,0))</f>
        <v>1</v>
      </c>
      <c r="M1004">
        <f>IF(AND(H1004=1,I1004&lt;='OS-DORAEN'!$B$6,J1004&lt;='OS-DORAEN'!$B$5,L1004=1),1,0)</f>
        <v>1</v>
      </c>
      <c r="N1004" t="str">
        <f t="shared" si="15"/>
        <v>R/X</v>
      </c>
    </row>
    <row r="1005" spans="1:14" ht="15" customHeight="1" x14ac:dyDescent="0.35">
      <c r="A1005">
        <v>87</v>
      </c>
      <c r="B1005">
        <v>70</v>
      </c>
      <c r="C1005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Master'!$F:$F,B1005),"")</f>
        <v>179</v>
      </c>
      <c r="D1005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Master'!$F:$F,B1005),"")</f>
        <v>0.56699999999999995</v>
      </c>
      <c r="E1005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Master'!$F:$F,B1005),"")</f>
        <v>0.56699999999999995</v>
      </c>
      <c r="F1005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Master'!$F:$F,B1005),"")</f>
        <v>7.6999999999999999E-2</v>
      </c>
      <c r="G1005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Master'!$F:$F,B1005),"")</f>
        <v>143</v>
      </c>
      <c r="H1005">
        <f>IF(AND(ISNUMBER(C1005),C1005&gt;='Bulk Calculator'!U87/('Bulk Calculator'!J87*'Bulk Calculator'!L87)),1,0)</f>
        <v>1</v>
      </c>
      <c r="I1005">
        <f>IFERROR(IF(AND(ISNUMBER(E1005),ISNUMBER(F1005),E1005&gt;0,F1005&gt;0),SQRT(3)*'Bulk Calculator'!O87*'Bulk Calculator'!AA87*((E1005*'Bulk Calculator'!Q87)+(F1005*SQRT(1-'Bulk Calculator'!Q87^2)))/'Bulk Calculator'!J87/'Bulk Calculator'!K87*100,D1005*'Bulk Calculator'!AA87*'Bulk Calculator'!O87/'Bulk Calculator'!J87/'Bulk Calculator'!K87*100),"")</f>
        <v>0</v>
      </c>
      <c r="J1005">
        <f>IFERROR(IF(AND(ISNUMBER(E1005),ISNUMBER(F1005),E1005&gt;0,F1005&gt;0),SQRT(3)*'Bulk Calculator'!O87*'Bulk Calculator'!U87*((E1005*'Bulk Calculator'!M87)+(F1005*SQRT(1-'Bulk Calculator'!M87^2)))/'Bulk Calculator'!J87/'Bulk Calculator'!K87*100,D1005*'Bulk Calculator'!U87*'Bulk Calculator'!O87/'Bulk Calculator'!J87/'Bulk Calculator'!K87*100),"")</f>
        <v>0</v>
      </c>
      <c r="K1005">
        <f>IFERROR(G1005*B1005*'Bulk Calculator'!J87/SQRT('Bulk Calculator'!S87)/1000,"")</f>
        <v>22.383040454772893</v>
      </c>
      <c r="L1005">
        <f>IF(OR('Bulk Calculator'!R87="",'Bulk Calculator'!S87="",G1005=""),0,IF(K1005&gt;='Bulk Calculator'!R87,1,0))</f>
        <v>1</v>
      </c>
      <c r="M1005">
        <f>IF(AND(H1005=1,I1005&lt;='OS-DORAEN'!$B$6,J1005&lt;='OS-DORAEN'!$B$5,L1005=1),1,0)</f>
        <v>1</v>
      </c>
      <c r="N1005" t="str">
        <f t="shared" si="15"/>
        <v>R/X</v>
      </c>
    </row>
    <row r="1006" spans="1:14" ht="15" customHeight="1" x14ac:dyDescent="0.35">
      <c r="A1006">
        <v>87</v>
      </c>
      <c r="B1006">
        <v>50</v>
      </c>
      <c r="C1006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Master'!$F:$F,B1006),"")</f>
        <v>142</v>
      </c>
      <c r="D1006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Master'!$F:$F,B1006),"")</f>
        <v>0.82</v>
      </c>
      <c r="E1006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Master'!$F:$F,B1006),"")</f>
        <v>0.82</v>
      </c>
      <c r="F1006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Master'!$F:$F,B1006),"")</f>
        <v>7.8E-2</v>
      </c>
      <c r="G1006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Master'!$F:$F,B1006),"")</f>
        <v>143</v>
      </c>
      <c r="H1006">
        <f>IF(AND(ISNUMBER(C1006),C1006&gt;='Bulk Calculator'!U87/('Bulk Calculator'!J87*'Bulk Calculator'!L87)),1,0)</f>
        <v>1</v>
      </c>
      <c r="I1006">
        <f>IFERROR(IF(AND(ISNUMBER(E1006),ISNUMBER(F1006),E1006&gt;0,F1006&gt;0),SQRT(3)*'Bulk Calculator'!O87*'Bulk Calculator'!AA87*((E1006*'Bulk Calculator'!Q87)+(F1006*SQRT(1-'Bulk Calculator'!Q87^2)))/'Bulk Calculator'!J87/'Bulk Calculator'!K87*100,D1006*'Bulk Calculator'!AA87*'Bulk Calculator'!O87/'Bulk Calculator'!J87/'Bulk Calculator'!K87*100),"")</f>
        <v>0</v>
      </c>
      <c r="J1006">
        <f>IFERROR(IF(AND(ISNUMBER(E1006),ISNUMBER(F1006),E1006&gt;0,F1006&gt;0),SQRT(3)*'Bulk Calculator'!O87*'Bulk Calculator'!U87*((E1006*'Bulk Calculator'!M87)+(F1006*SQRT(1-'Bulk Calculator'!M87^2)))/'Bulk Calculator'!J87/'Bulk Calculator'!K87*100,D1006*'Bulk Calculator'!U87*'Bulk Calculator'!O87/'Bulk Calculator'!J87/'Bulk Calculator'!K87*100),"")</f>
        <v>0</v>
      </c>
      <c r="K1006">
        <f>IFERROR(G1006*B1006*'Bulk Calculator'!J87/SQRT('Bulk Calculator'!S87)/1000,"")</f>
        <v>15.987886039123497</v>
      </c>
      <c r="L1006">
        <f>IF(OR('Bulk Calculator'!R87="",'Bulk Calculator'!S87="",G1006=""),0,IF(K1006&gt;='Bulk Calculator'!R87,1,0))</f>
        <v>1</v>
      </c>
      <c r="M1006">
        <f>IF(AND(H1006=1,I1006&lt;='OS-DORAEN'!$B$6,J1006&lt;='OS-DORAEN'!$B$5,L1006=1),1,0)</f>
        <v>1</v>
      </c>
      <c r="N1006" t="str">
        <f t="shared" si="15"/>
        <v>R/X</v>
      </c>
    </row>
    <row r="1007" spans="1:14" ht="15" customHeight="1" x14ac:dyDescent="0.35">
      <c r="A1007">
        <v>87</v>
      </c>
      <c r="B1007">
        <v>35</v>
      </c>
      <c r="C1007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Master'!$F:$F,B1007),"")</f>
        <v>117</v>
      </c>
      <c r="D1007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Master'!$F:$F,B1007),"")</f>
        <v>1.1100000000000001</v>
      </c>
      <c r="E1007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Master'!$F:$F,B1007),"")</f>
        <v>1.1100000000000001</v>
      </c>
      <c r="F1007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Master'!$F:$F,B1007),"")</f>
        <v>0.08</v>
      </c>
      <c r="G1007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Master'!$F:$F,B1007),"")</f>
        <v>143</v>
      </c>
      <c r="H1007">
        <f>IF(AND(ISNUMBER(C1007),C1007&gt;='Bulk Calculator'!U87/('Bulk Calculator'!J87*'Bulk Calculator'!L87)),1,0)</f>
        <v>1</v>
      </c>
      <c r="I1007">
        <f>IFERROR(IF(AND(ISNUMBER(E1007),ISNUMBER(F1007),E1007&gt;0,F1007&gt;0),SQRT(3)*'Bulk Calculator'!O87*'Bulk Calculator'!AA87*((E1007*'Bulk Calculator'!Q87)+(F1007*SQRT(1-'Bulk Calculator'!Q87^2)))/'Bulk Calculator'!J87/'Bulk Calculator'!K87*100,D1007*'Bulk Calculator'!AA87*'Bulk Calculator'!O87/'Bulk Calculator'!J87/'Bulk Calculator'!K87*100),"")</f>
        <v>0</v>
      </c>
      <c r="J1007">
        <f>IFERROR(IF(AND(ISNUMBER(E1007),ISNUMBER(F1007),E1007&gt;0,F1007&gt;0),SQRT(3)*'Bulk Calculator'!O87*'Bulk Calculator'!U87*((E1007*'Bulk Calculator'!M87)+(F1007*SQRT(1-'Bulk Calculator'!M87^2)))/'Bulk Calculator'!J87/'Bulk Calculator'!K87*100,D1007*'Bulk Calculator'!U87*'Bulk Calculator'!O87/'Bulk Calculator'!J87/'Bulk Calculator'!K87*100),"")</f>
        <v>0</v>
      </c>
      <c r="K1007">
        <f>IFERROR(G1007*B1007*'Bulk Calculator'!J87/SQRT('Bulk Calculator'!S87)/1000,"")</f>
        <v>11.191520227386446</v>
      </c>
      <c r="L1007">
        <f>IF(OR('Bulk Calculator'!R87="",'Bulk Calculator'!S87="",G1007=""),0,IF(K1007&gt;='Bulk Calculator'!R87,1,0))</f>
        <v>1</v>
      </c>
      <c r="M1007">
        <f>IF(AND(H1007=1,I1007&lt;='OS-DORAEN'!$B$6,J1007&lt;='OS-DORAEN'!$B$5,L1007=1),1,0)</f>
        <v>1</v>
      </c>
      <c r="N1007" t="str">
        <f t="shared" si="15"/>
        <v>R/X</v>
      </c>
    </row>
    <row r="1008" spans="1:14" ht="15" customHeight="1" x14ac:dyDescent="0.35">
      <c r="A1008">
        <v>87</v>
      </c>
      <c r="B1008">
        <v>25</v>
      </c>
      <c r="C1008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Master'!$F:$F,B1008),"")</f>
        <v>96</v>
      </c>
      <c r="D1008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Master'!$F:$F,B1008),"")</f>
        <v>1.54</v>
      </c>
      <c r="E1008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Master'!$F:$F,B1008),"")</f>
        <v>1.54</v>
      </c>
      <c r="F1008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Master'!$F:$F,B1008),"")</f>
        <v>0.08</v>
      </c>
      <c r="G1008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Master'!$F:$F,B1008),"")</f>
        <v>143</v>
      </c>
      <c r="H1008">
        <f>IF(AND(ISNUMBER(C1008),C1008&gt;='Bulk Calculator'!U87/('Bulk Calculator'!J87*'Bulk Calculator'!L87)),1,0)</f>
        <v>1</v>
      </c>
      <c r="I1008">
        <f>IFERROR(IF(AND(ISNUMBER(E1008),ISNUMBER(F1008),E1008&gt;0,F1008&gt;0),SQRT(3)*'Bulk Calculator'!O87*'Bulk Calculator'!AA87*((E1008*'Bulk Calculator'!Q87)+(F1008*SQRT(1-'Bulk Calculator'!Q87^2)))/'Bulk Calculator'!J87/'Bulk Calculator'!K87*100,D1008*'Bulk Calculator'!AA87*'Bulk Calculator'!O87/'Bulk Calculator'!J87/'Bulk Calculator'!K87*100),"")</f>
        <v>0</v>
      </c>
      <c r="J1008">
        <f>IFERROR(IF(AND(ISNUMBER(E1008),ISNUMBER(F1008),E1008&gt;0,F1008&gt;0),SQRT(3)*'Bulk Calculator'!O87*'Bulk Calculator'!U87*((E1008*'Bulk Calculator'!M87)+(F1008*SQRT(1-'Bulk Calculator'!M87^2)))/'Bulk Calculator'!J87/'Bulk Calculator'!K87*100,D1008*'Bulk Calculator'!U87*'Bulk Calculator'!O87/'Bulk Calculator'!J87/'Bulk Calculator'!K87*100),"")</f>
        <v>0</v>
      </c>
      <c r="K1008">
        <f>IFERROR(G1008*B1008*'Bulk Calculator'!J87/SQRT('Bulk Calculator'!S87)/1000,"")</f>
        <v>7.9939430195617485</v>
      </c>
      <c r="L1008">
        <f>IF(OR('Bulk Calculator'!R87="",'Bulk Calculator'!S87="",G1008=""),0,IF(K1008&gt;='Bulk Calculator'!R87,1,0))</f>
        <v>1</v>
      </c>
      <c r="M1008">
        <f>IF(AND(H1008=1,I1008&lt;='OS-DORAEN'!$B$6,J1008&lt;='OS-DORAEN'!$B$5,L1008=1),1,0)</f>
        <v>1</v>
      </c>
      <c r="N1008" t="str">
        <f t="shared" si="15"/>
        <v>R/X</v>
      </c>
    </row>
    <row r="1009" spans="1:14" ht="15" customHeight="1" x14ac:dyDescent="0.35">
      <c r="A1009">
        <v>87</v>
      </c>
      <c r="B1009">
        <v>16</v>
      </c>
      <c r="C1009">
        <f>IFERROR(SUMIFS('Cable Data Master'!$G:$G,'Cable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Master'!$F:$F,B1009),"")</f>
        <v>0</v>
      </c>
      <c r="D1009">
        <f>IFERROR(SUMIFS('Cable Data Master'!$K:$K,'Cable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Master'!$F:$F,B1009),"")</f>
        <v>0</v>
      </c>
      <c r="E1009">
        <f>IFERROR(SUMIFS('Cable Data Master'!$H:$H,'Cable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Master'!$F:$F,B1009),"")</f>
        <v>0</v>
      </c>
      <c r="F1009">
        <f>IFERROR(SUMIFS('Cable Data Master'!$I:$I,'Cable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Master'!$F:$F,B1009),"")</f>
        <v>0</v>
      </c>
      <c r="G1009">
        <f>IFERROR(SUMIFS('Cable Data Master'!$J:$J,'Cable Data Master'!$A:$A,'Bulk Calculator'!$BF87,'Cable Data Master'!$B:$B,'Bulk Calculator'!$BG87,'Cable Data Master'!$C:$C,'Bulk Calculator'!$BH87,'Cable Data Master'!$D:$D,'Bulk Calculator'!$BI87,'Cable Data Master'!$E:$E,'Bulk Calculator'!$BJ87,'Cable Data Master'!$F:$F,B1009),"")</f>
        <v>0</v>
      </c>
      <c r="H1009">
        <f>IF(AND(ISNUMBER(C1009),C1009&gt;='Bulk Calculator'!U87/('Bulk Calculator'!J87*'Bulk Calculator'!L87)),1,0)</f>
        <v>1</v>
      </c>
      <c r="I1009">
        <f>IFERROR(IF(AND(ISNUMBER(E1009),ISNUMBER(F1009),E1009&gt;0,F1009&gt;0),SQRT(3)*'Bulk Calculator'!O87*'Bulk Calculator'!AA87*((E1009*'Bulk Calculator'!Q87)+(F1009*SQRT(1-'Bulk Calculator'!Q87^2)))/'Bulk Calculator'!J87/'Bulk Calculator'!K87*100,D1009*'Bulk Calculator'!AA87*'Bulk Calculator'!O87/'Bulk Calculator'!J87/'Bulk Calculator'!K87*100),"")</f>
        <v>0</v>
      </c>
      <c r="J1009">
        <f>IFERROR(IF(AND(ISNUMBER(E1009),ISNUMBER(F1009),E1009&gt;0,F1009&gt;0),SQRT(3)*'Bulk Calculator'!O87*'Bulk Calculator'!U87*((E1009*'Bulk Calculator'!M87)+(F1009*SQRT(1-'Bulk Calculator'!M87^2)))/'Bulk Calculator'!J87/'Bulk Calculator'!K87*100,D1009*'Bulk Calculator'!U87*'Bulk Calculator'!O87/'Bulk Calculator'!J87/'Bulk Calculator'!K87*100),"")</f>
        <v>0</v>
      </c>
      <c r="K1009">
        <f>IFERROR(G1009*B1009*'Bulk Calculator'!J87/SQRT('Bulk Calculator'!S87)/1000,"")</f>
        <v>0</v>
      </c>
      <c r="L1009">
        <f>IF(OR('Bulk Calculator'!R87="",'Bulk Calculator'!S87="",G1009=""),0,IF(K1009&gt;='Bulk Calculator'!R87,1,0))</f>
        <v>1</v>
      </c>
      <c r="M1009">
        <f>IF(AND(H1009=1,I1009&lt;='OS-DORAEN'!$B$6,J1009&lt;='OS-DORAEN'!$B$5,L1009=1),1,0)</f>
        <v>1</v>
      </c>
      <c r="N1009" t="str">
        <f t="shared" si="15"/>
        <v>Manufacturer VD Ref</v>
      </c>
    </row>
    <row r="1010" spans="1:14" ht="15" customHeight="1" x14ac:dyDescent="0.35">
      <c r="A1010">
        <v>88</v>
      </c>
      <c r="B1010">
        <v>400</v>
      </c>
      <c r="C1010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Master'!$F:$F,B1010),"")</f>
        <v>530</v>
      </c>
      <c r="D1010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Master'!$F:$F,B1010),"")</f>
        <v>0.1023</v>
      </c>
      <c r="E1010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Master'!$F:$F,B1010),"")</f>
        <v>0.1023</v>
      </c>
      <c r="F1010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Master'!$F:$F,B1010),"")</f>
        <v>7.0000000000000007E-2</v>
      </c>
      <c r="G1010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Master'!$F:$F,B1010),"")</f>
        <v>143</v>
      </c>
      <c r="H1010">
        <f>IF(AND(ISNUMBER(C1010),C1010&gt;='Bulk Calculator'!U88/('Bulk Calculator'!J88*'Bulk Calculator'!L88)),1,0)</f>
        <v>1</v>
      </c>
      <c r="I1010">
        <f>IFERROR(IF(AND(ISNUMBER(E1010),ISNUMBER(F1010),E1010&gt;0,F1010&gt;0),SQRT(3)*'Bulk Calculator'!O88*'Bulk Calculator'!AA88*((E1010*'Bulk Calculator'!Q88)+(F1010*SQRT(1-'Bulk Calculator'!Q88^2)))/'Bulk Calculator'!J88/'Bulk Calculator'!K88*100,D1010*'Bulk Calculator'!AA88*'Bulk Calculator'!O88/'Bulk Calculator'!J88/'Bulk Calculator'!K88*100),"")</f>
        <v>0</v>
      </c>
      <c r="J1010">
        <f>IFERROR(IF(AND(ISNUMBER(E1010),ISNUMBER(F1010),E1010&gt;0,F1010&gt;0),SQRT(3)*'Bulk Calculator'!O88*'Bulk Calculator'!U88*((E1010*'Bulk Calculator'!M88)+(F1010*SQRT(1-'Bulk Calculator'!M88^2)))/'Bulk Calculator'!J88/'Bulk Calculator'!K88*100,D1010*'Bulk Calculator'!U88*'Bulk Calculator'!O88/'Bulk Calculator'!J88/'Bulk Calculator'!K88*100),"")</f>
        <v>0</v>
      </c>
      <c r="K1010">
        <f>IFERROR(G1010*B1010*'Bulk Calculator'!J88/SQRT('Bulk Calculator'!S88)/1000,"")</f>
        <v>127.90308831298798</v>
      </c>
      <c r="L1010">
        <f>IF(OR('Bulk Calculator'!R88="",'Bulk Calculator'!S88="",G1010=""),0,IF(K1010&gt;='Bulk Calculator'!R88,1,0))</f>
        <v>1</v>
      </c>
      <c r="M1010">
        <f>IF(AND(H1010=1,I1010&lt;='OS-DORAEN'!$B$6,J1010&lt;='OS-DORAEN'!$B$5,L1010=1),1,0)</f>
        <v>1</v>
      </c>
      <c r="N1010" t="str">
        <f t="shared" si="15"/>
        <v>R/X</v>
      </c>
    </row>
    <row r="1011" spans="1:14" ht="15" customHeight="1" x14ac:dyDescent="0.35">
      <c r="A1011">
        <v>88</v>
      </c>
      <c r="B1011">
        <v>300</v>
      </c>
      <c r="C1011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Master'!$F:$F,B1011),"")</f>
        <v>455</v>
      </c>
      <c r="D1011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Master'!$F:$F,B1011),"")</f>
        <v>0.13</v>
      </c>
      <c r="E1011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Master'!$F:$F,B1011),"")</f>
        <v>0.13</v>
      </c>
      <c r="F1011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Master'!$F:$F,B1011),"")</f>
        <v>7.0999999999999994E-2</v>
      </c>
      <c r="G1011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Master'!$F:$F,B1011),"")</f>
        <v>143</v>
      </c>
      <c r="H1011">
        <f>IF(AND(ISNUMBER(C1011),C1011&gt;='Bulk Calculator'!U88/('Bulk Calculator'!J88*'Bulk Calculator'!L88)),1,0)</f>
        <v>1</v>
      </c>
      <c r="I1011">
        <f>IFERROR(IF(AND(ISNUMBER(E1011),ISNUMBER(F1011),E1011&gt;0,F1011&gt;0),SQRT(3)*'Bulk Calculator'!O88*'Bulk Calculator'!AA88*((E1011*'Bulk Calculator'!Q88)+(F1011*SQRT(1-'Bulk Calculator'!Q88^2)))/'Bulk Calculator'!J88/'Bulk Calculator'!K88*100,D1011*'Bulk Calculator'!AA88*'Bulk Calculator'!O88/'Bulk Calculator'!J88/'Bulk Calculator'!K88*100),"")</f>
        <v>0</v>
      </c>
      <c r="J1011">
        <f>IFERROR(IF(AND(ISNUMBER(E1011),ISNUMBER(F1011),E1011&gt;0,F1011&gt;0),SQRT(3)*'Bulk Calculator'!O88*'Bulk Calculator'!U88*((E1011*'Bulk Calculator'!M88)+(F1011*SQRT(1-'Bulk Calculator'!M88^2)))/'Bulk Calculator'!J88/'Bulk Calculator'!K88*100,D1011*'Bulk Calculator'!U88*'Bulk Calculator'!O88/'Bulk Calculator'!J88/'Bulk Calculator'!K88*100),"")</f>
        <v>0</v>
      </c>
      <c r="K1011">
        <f>IFERROR(G1011*B1011*'Bulk Calculator'!J88/SQRT('Bulk Calculator'!S88)/1000,"")</f>
        <v>95.927316234740985</v>
      </c>
      <c r="L1011">
        <f>IF(OR('Bulk Calculator'!R88="",'Bulk Calculator'!S88="",G1011=""),0,IF(K1011&gt;='Bulk Calculator'!R88,1,0))</f>
        <v>1</v>
      </c>
      <c r="M1011">
        <f>IF(AND(H1011=1,I1011&lt;='OS-DORAEN'!$B$6,J1011&lt;='OS-DORAEN'!$B$5,L1011=1),1,0)</f>
        <v>1</v>
      </c>
      <c r="N1011" t="str">
        <f t="shared" si="15"/>
        <v>R/X</v>
      </c>
    </row>
    <row r="1012" spans="1:14" ht="15" customHeight="1" x14ac:dyDescent="0.35">
      <c r="A1012">
        <v>88</v>
      </c>
      <c r="B1012">
        <v>240</v>
      </c>
      <c r="C1012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Master'!$F:$F,B1012),"")</f>
        <v>399</v>
      </c>
      <c r="D1012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Master'!$F:$F,B1012),"")</f>
        <v>0.16200000000000001</v>
      </c>
      <c r="E1012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Master'!$F:$F,B1012),"")</f>
        <v>0.16200000000000001</v>
      </c>
      <c r="F1012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Master'!$F:$F,B1012),"")</f>
        <v>7.1999999999999995E-2</v>
      </c>
      <c r="G1012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Master'!$F:$F,B1012),"")</f>
        <v>143</v>
      </c>
      <c r="H1012">
        <f>IF(AND(ISNUMBER(C1012),C1012&gt;='Bulk Calculator'!U88/('Bulk Calculator'!J88*'Bulk Calculator'!L88)),1,0)</f>
        <v>1</v>
      </c>
      <c r="I1012">
        <f>IFERROR(IF(AND(ISNUMBER(E1012),ISNUMBER(F1012),E1012&gt;0,F1012&gt;0),SQRT(3)*'Bulk Calculator'!O88*'Bulk Calculator'!AA88*((E1012*'Bulk Calculator'!Q88)+(F1012*SQRT(1-'Bulk Calculator'!Q88^2)))/'Bulk Calculator'!J88/'Bulk Calculator'!K88*100,D1012*'Bulk Calculator'!AA88*'Bulk Calculator'!O88/'Bulk Calculator'!J88/'Bulk Calculator'!K88*100),"")</f>
        <v>0</v>
      </c>
      <c r="J1012">
        <f>IFERROR(IF(AND(ISNUMBER(E1012),ISNUMBER(F1012),E1012&gt;0,F1012&gt;0),SQRT(3)*'Bulk Calculator'!O88*'Bulk Calculator'!U88*((E1012*'Bulk Calculator'!M88)+(F1012*SQRT(1-'Bulk Calculator'!M88^2)))/'Bulk Calculator'!J88/'Bulk Calculator'!K88*100,D1012*'Bulk Calculator'!U88*'Bulk Calculator'!O88/'Bulk Calculator'!J88/'Bulk Calculator'!K88*100),"")</f>
        <v>0</v>
      </c>
      <c r="K1012">
        <f>IFERROR(G1012*B1012*'Bulk Calculator'!J88/SQRT('Bulk Calculator'!S88)/1000,"")</f>
        <v>76.741852987792782</v>
      </c>
      <c r="L1012">
        <f>IF(OR('Bulk Calculator'!R88="",'Bulk Calculator'!S88="",G1012=""),0,IF(K1012&gt;='Bulk Calculator'!R88,1,0))</f>
        <v>1</v>
      </c>
      <c r="M1012">
        <f>IF(AND(H1012=1,I1012&lt;='OS-DORAEN'!$B$6,J1012&lt;='OS-DORAEN'!$B$5,L1012=1),1,0)</f>
        <v>1</v>
      </c>
      <c r="N1012" t="str">
        <f t="shared" si="15"/>
        <v>R/X</v>
      </c>
    </row>
    <row r="1013" spans="1:14" ht="15" customHeight="1" x14ac:dyDescent="0.35">
      <c r="A1013">
        <v>88</v>
      </c>
      <c r="B1013">
        <v>185</v>
      </c>
      <c r="C1013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Master'!$F:$F,B1013),"")</f>
        <v>337</v>
      </c>
      <c r="D1013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Master'!$F:$F,B1013),"")</f>
        <v>0.21099999999999999</v>
      </c>
      <c r="E1013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Master'!$F:$F,B1013),"")</f>
        <v>0.21099999999999999</v>
      </c>
      <c r="F1013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Master'!$F:$F,B1013),"")</f>
        <v>7.1999999999999995E-2</v>
      </c>
      <c r="G1013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Master'!$F:$F,B1013),"")</f>
        <v>143</v>
      </c>
      <c r="H1013">
        <f>IF(AND(ISNUMBER(C1013),C1013&gt;='Bulk Calculator'!U88/('Bulk Calculator'!J88*'Bulk Calculator'!L88)),1,0)</f>
        <v>1</v>
      </c>
      <c r="I1013">
        <f>IFERROR(IF(AND(ISNUMBER(E1013),ISNUMBER(F1013),E1013&gt;0,F1013&gt;0),SQRT(3)*'Bulk Calculator'!O88*'Bulk Calculator'!AA88*((E1013*'Bulk Calculator'!Q88)+(F1013*SQRT(1-'Bulk Calculator'!Q88^2)))/'Bulk Calculator'!J88/'Bulk Calculator'!K88*100,D1013*'Bulk Calculator'!AA88*'Bulk Calculator'!O88/'Bulk Calculator'!J88/'Bulk Calculator'!K88*100),"")</f>
        <v>0</v>
      </c>
      <c r="J1013">
        <f>IFERROR(IF(AND(ISNUMBER(E1013),ISNUMBER(F1013),E1013&gt;0,F1013&gt;0),SQRT(3)*'Bulk Calculator'!O88*'Bulk Calculator'!U88*((E1013*'Bulk Calculator'!M88)+(F1013*SQRT(1-'Bulk Calculator'!M88^2)))/'Bulk Calculator'!J88/'Bulk Calculator'!K88*100,D1013*'Bulk Calculator'!U88*'Bulk Calculator'!O88/'Bulk Calculator'!J88/'Bulk Calculator'!K88*100),"")</f>
        <v>0</v>
      </c>
      <c r="K1013">
        <f>IFERROR(G1013*B1013*'Bulk Calculator'!J88/SQRT('Bulk Calculator'!S88)/1000,"")</f>
        <v>59.155178344756941</v>
      </c>
      <c r="L1013">
        <f>IF(OR('Bulk Calculator'!R88="",'Bulk Calculator'!S88="",G1013=""),0,IF(K1013&gt;='Bulk Calculator'!R88,1,0))</f>
        <v>1</v>
      </c>
      <c r="M1013">
        <f>IF(AND(H1013=1,I1013&lt;='OS-DORAEN'!$B$6,J1013&lt;='OS-DORAEN'!$B$5,L1013=1),1,0)</f>
        <v>1</v>
      </c>
      <c r="N1013" t="str">
        <f t="shared" si="15"/>
        <v>R/X</v>
      </c>
    </row>
    <row r="1014" spans="1:14" ht="15" customHeight="1" x14ac:dyDescent="0.35">
      <c r="A1014">
        <v>88</v>
      </c>
      <c r="B1014">
        <v>150</v>
      </c>
      <c r="C1014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Master'!$F:$F,B1014),"")</f>
        <v>292</v>
      </c>
      <c r="D1014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Master'!$F:$F,B1014),"")</f>
        <v>0.26500000000000001</v>
      </c>
      <c r="E1014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Master'!$F:$F,B1014),"")</f>
        <v>0.26500000000000001</v>
      </c>
      <c r="F1014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Master'!$F:$F,B1014),"")</f>
        <v>7.1999999999999995E-2</v>
      </c>
      <c r="G1014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Master'!$F:$F,B1014),"")</f>
        <v>143</v>
      </c>
      <c r="H1014">
        <f>IF(AND(ISNUMBER(C1014),C1014&gt;='Bulk Calculator'!U88/('Bulk Calculator'!J88*'Bulk Calculator'!L88)),1,0)</f>
        <v>1</v>
      </c>
      <c r="I1014">
        <f>IFERROR(IF(AND(ISNUMBER(E1014),ISNUMBER(F1014),E1014&gt;0,F1014&gt;0),SQRT(3)*'Bulk Calculator'!O88*'Bulk Calculator'!AA88*((E1014*'Bulk Calculator'!Q88)+(F1014*SQRT(1-'Bulk Calculator'!Q88^2)))/'Bulk Calculator'!J88/'Bulk Calculator'!K88*100,D1014*'Bulk Calculator'!AA88*'Bulk Calculator'!O88/'Bulk Calculator'!J88/'Bulk Calculator'!K88*100),"")</f>
        <v>0</v>
      </c>
      <c r="J1014">
        <f>IFERROR(IF(AND(ISNUMBER(E1014),ISNUMBER(F1014),E1014&gt;0,F1014&gt;0),SQRT(3)*'Bulk Calculator'!O88*'Bulk Calculator'!U88*((E1014*'Bulk Calculator'!M88)+(F1014*SQRT(1-'Bulk Calculator'!M88^2)))/'Bulk Calculator'!J88/'Bulk Calculator'!K88*100,D1014*'Bulk Calculator'!U88*'Bulk Calculator'!O88/'Bulk Calculator'!J88/'Bulk Calculator'!K88*100),"")</f>
        <v>0</v>
      </c>
      <c r="K1014">
        <f>IFERROR(G1014*B1014*'Bulk Calculator'!J88/SQRT('Bulk Calculator'!S88)/1000,"")</f>
        <v>47.963658117370493</v>
      </c>
      <c r="L1014">
        <f>IF(OR('Bulk Calculator'!R88="",'Bulk Calculator'!S88="",G1014=""),0,IF(K1014&gt;='Bulk Calculator'!R88,1,0))</f>
        <v>1</v>
      </c>
      <c r="M1014">
        <f>IF(AND(H1014=1,I1014&lt;='OS-DORAEN'!$B$6,J1014&lt;='OS-DORAEN'!$B$5,L1014=1),1,0)</f>
        <v>1</v>
      </c>
      <c r="N1014" t="str">
        <f t="shared" si="15"/>
        <v>R/X</v>
      </c>
    </row>
    <row r="1015" spans="1:14" ht="15" customHeight="1" x14ac:dyDescent="0.35">
      <c r="A1015">
        <v>88</v>
      </c>
      <c r="B1015">
        <v>120</v>
      </c>
      <c r="C1015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Master'!$F:$F,B1015),"")</f>
        <v>257</v>
      </c>
      <c r="D1015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Master'!$F:$F,B1015),"")</f>
        <v>0.32500000000000001</v>
      </c>
      <c r="E1015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Master'!$F:$F,B1015),"")</f>
        <v>0.32500000000000001</v>
      </c>
      <c r="F1015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Master'!$F:$F,B1015),"")</f>
        <v>7.1999999999999995E-2</v>
      </c>
      <c r="G1015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Master'!$F:$F,B1015),"")</f>
        <v>143</v>
      </c>
      <c r="H1015">
        <f>IF(AND(ISNUMBER(C1015),C1015&gt;='Bulk Calculator'!U88/('Bulk Calculator'!J88*'Bulk Calculator'!L88)),1,0)</f>
        <v>1</v>
      </c>
      <c r="I1015">
        <f>IFERROR(IF(AND(ISNUMBER(E1015),ISNUMBER(F1015),E1015&gt;0,F1015&gt;0),SQRT(3)*'Bulk Calculator'!O88*'Bulk Calculator'!AA88*((E1015*'Bulk Calculator'!Q88)+(F1015*SQRT(1-'Bulk Calculator'!Q88^2)))/'Bulk Calculator'!J88/'Bulk Calculator'!K88*100,D1015*'Bulk Calculator'!AA88*'Bulk Calculator'!O88/'Bulk Calculator'!J88/'Bulk Calculator'!K88*100),"")</f>
        <v>0</v>
      </c>
      <c r="J1015">
        <f>IFERROR(IF(AND(ISNUMBER(E1015),ISNUMBER(F1015),E1015&gt;0,F1015&gt;0),SQRT(3)*'Bulk Calculator'!O88*'Bulk Calculator'!U88*((E1015*'Bulk Calculator'!M88)+(F1015*SQRT(1-'Bulk Calculator'!M88^2)))/'Bulk Calculator'!J88/'Bulk Calculator'!K88*100,D1015*'Bulk Calculator'!U88*'Bulk Calculator'!O88/'Bulk Calculator'!J88/'Bulk Calculator'!K88*100),"")</f>
        <v>0</v>
      </c>
      <c r="K1015">
        <f>IFERROR(G1015*B1015*'Bulk Calculator'!J88/SQRT('Bulk Calculator'!S88)/1000,"")</f>
        <v>38.370926493896391</v>
      </c>
      <c r="L1015">
        <f>IF(OR('Bulk Calculator'!R88="",'Bulk Calculator'!S88="",G1015=""),0,IF(K1015&gt;='Bulk Calculator'!R88,1,0))</f>
        <v>1</v>
      </c>
      <c r="M1015">
        <f>IF(AND(H1015=1,I1015&lt;='OS-DORAEN'!$B$6,J1015&lt;='OS-DORAEN'!$B$5,L1015=1),1,0)</f>
        <v>1</v>
      </c>
      <c r="N1015" t="str">
        <f t="shared" si="15"/>
        <v>R/X</v>
      </c>
    </row>
    <row r="1016" spans="1:14" ht="15" customHeight="1" x14ac:dyDescent="0.35">
      <c r="A1016">
        <v>88</v>
      </c>
      <c r="B1016">
        <v>95</v>
      </c>
      <c r="C1016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Master'!$F:$F,B1016),"")</f>
        <v>221</v>
      </c>
      <c r="D1016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Master'!$F:$F,B1016),"")</f>
        <v>0.41</v>
      </c>
      <c r="E1016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Master'!$F:$F,B1016),"")</f>
        <v>0.41</v>
      </c>
      <c r="F1016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Master'!$F:$F,B1016),"")</f>
        <v>7.3999999999999996E-2</v>
      </c>
      <c r="G1016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Master'!$F:$F,B1016),"")</f>
        <v>143</v>
      </c>
      <c r="H1016">
        <f>IF(AND(ISNUMBER(C1016),C1016&gt;='Bulk Calculator'!U88/('Bulk Calculator'!J88*'Bulk Calculator'!L88)),1,0)</f>
        <v>1</v>
      </c>
      <c r="I1016">
        <f>IFERROR(IF(AND(ISNUMBER(E1016),ISNUMBER(F1016),E1016&gt;0,F1016&gt;0),SQRT(3)*'Bulk Calculator'!O88*'Bulk Calculator'!AA88*((E1016*'Bulk Calculator'!Q88)+(F1016*SQRT(1-'Bulk Calculator'!Q88^2)))/'Bulk Calculator'!J88/'Bulk Calculator'!K88*100,D1016*'Bulk Calculator'!AA88*'Bulk Calculator'!O88/'Bulk Calculator'!J88/'Bulk Calculator'!K88*100),"")</f>
        <v>0</v>
      </c>
      <c r="J1016">
        <f>IFERROR(IF(AND(ISNUMBER(E1016),ISNUMBER(F1016),E1016&gt;0,F1016&gt;0),SQRT(3)*'Bulk Calculator'!O88*'Bulk Calculator'!U88*((E1016*'Bulk Calculator'!M88)+(F1016*SQRT(1-'Bulk Calculator'!M88^2)))/'Bulk Calculator'!J88/'Bulk Calculator'!K88*100,D1016*'Bulk Calculator'!U88*'Bulk Calculator'!O88/'Bulk Calculator'!J88/'Bulk Calculator'!K88*100),"")</f>
        <v>0</v>
      </c>
      <c r="K1016">
        <f>IFERROR(G1016*B1016*'Bulk Calculator'!J88/SQRT('Bulk Calculator'!S88)/1000,"")</f>
        <v>30.376983474334644</v>
      </c>
      <c r="L1016">
        <f>IF(OR('Bulk Calculator'!R88="",'Bulk Calculator'!S88="",G1016=""),0,IF(K1016&gt;='Bulk Calculator'!R88,1,0))</f>
        <v>1</v>
      </c>
      <c r="M1016">
        <f>IF(AND(H1016=1,I1016&lt;='OS-DORAEN'!$B$6,J1016&lt;='OS-DORAEN'!$B$5,L1016=1),1,0)</f>
        <v>1</v>
      </c>
      <c r="N1016" t="str">
        <f t="shared" si="15"/>
        <v>R/X</v>
      </c>
    </row>
    <row r="1017" spans="1:14" ht="15" customHeight="1" x14ac:dyDescent="0.35">
      <c r="A1017">
        <v>88</v>
      </c>
      <c r="B1017">
        <v>70</v>
      </c>
      <c r="C1017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Master'!$F:$F,B1017),"")</f>
        <v>179</v>
      </c>
      <c r="D1017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Master'!$F:$F,B1017),"")</f>
        <v>0.56699999999999995</v>
      </c>
      <c r="E1017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Master'!$F:$F,B1017),"")</f>
        <v>0.56699999999999995</v>
      </c>
      <c r="F1017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Master'!$F:$F,B1017),"")</f>
        <v>7.6999999999999999E-2</v>
      </c>
      <c r="G1017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Master'!$F:$F,B1017),"")</f>
        <v>143</v>
      </c>
      <c r="H1017">
        <f>IF(AND(ISNUMBER(C1017),C1017&gt;='Bulk Calculator'!U88/('Bulk Calculator'!J88*'Bulk Calculator'!L88)),1,0)</f>
        <v>1</v>
      </c>
      <c r="I1017">
        <f>IFERROR(IF(AND(ISNUMBER(E1017),ISNUMBER(F1017),E1017&gt;0,F1017&gt;0),SQRT(3)*'Bulk Calculator'!O88*'Bulk Calculator'!AA88*((E1017*'Bulk Calculator'!Q88)+(F1017*SQRT(1-'Bulk Calculator'!Q88^2)))/'Bulk Calculator'!J88/'Bulk Calculator'!K88*100,D1017*'Bulk Calculator'!AA88*'Bulk Calculator'!O88/'Bulk Calculator'!J88/'Bulk Calculator'!K88*100),"")</f>
        <v>0</v>
      </c>
      <c r="J1017">
        <f>IFERROR(IF(AND(ISNUMBER(E1017),ISNUMBER(F1017),E1017&gt;0,F1017&gt;0),SQRT(3)*'Bulk Calculator'!O88*'Bulk Calculator'!U88*((E1017*'Bulk Calculator'!M88)+(F1017*SQRT(1-'Bulk Calculator'!M88^2)))/'Bulk Calculator'!J88/'Bulk Calculator'!K88*100,D1017*'Bulk Calculator'!U88*'Bulk Calculator'!O88/'Bulk Calculator'!J88/'Bulk Calculator'!K88*100),"")</f>
        <v>0</v>
      </c>
      <c r="K1017">
        <f>IFERROR(G1017*B1017*'Bulk Calculator'!J88/SQRT('Bulk Calculator'!S88)/1000,"")</f>
        <v>22.383040454772893</v>
      </c>
      <c r="L1017">
        <f>IF(OR('Bulk Calculator'!R88="",'Bulk Calculator'!S88="",G1017=""),0,IF(K1017&gt;='Bulk Calculator'!R88,1,0))</f>
        <v>1</v>
      </c>
      <c r="M1017">
        <f>IF(AND(H1017=1,I1017&lt;='OS-DORAEN'!$B$6,J1017&lt;='OS-DORAEN'!$B$5,L1017=1),1,0)</f>
        <v>1</v>
      </c>
      <c r="N1017" t="str">
        <f t="shared" si="15"/>
        <v>R/X</v>
      </c>
    </row>
    <row r="1018" spans="1:14" ht="15" customHeight="1" x14ac:dyDescent="0.35">
      <c r="A1018">
        <v>88</v>
      </c>
      <c r="B1018">
        <v>50</v>
      </c>
      <c r="C1018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Master'!$F:$F,B1018),"")</f>
        <v>142</v>
      </c>
      <c r="D1018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Master'!$F:$F,B1018),"")</f>
        <v>0.82</v>
      </c>
      <c r="E1018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Master'!$F:$F,B1018),"")</f>
        <v>0.82</v>
      </c>
      <c r="F1018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Master'!$F:$F,B1018),"")</f>
        <v>7.8E-2</v>
      </c>
      <c r="G1018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Master'!$F:$F,B1018),"")</f>
        <v>143</v>
      </c>
      <c r="H1018">
        <f>IF(AND(ISNUMBER(C1018),C1018&gt;='Bulk Calculator'!U88/('Bulk Calculator'!J88*'Bulk Calculator'!L88)),1,0)</f>
        <v>1</v>
      </c>
      <c r="I1018">
        <f>IFERROR(IF(AND(ISNUMBER(E1018),ISNUMBER(F1018),E1018&gt;0,F1018&gt;0),SQRT(3)*'Bulk Calculator'!O88*'Bulk Calculator'!AA88*((E1018*'Bulk Calculator'!Q88)+(F1018*SQRT(1-'Bulk Calculator'!Q88^2)))/'Bulk Calculator'!J88/'Bulk Calculator'!K88*100,D1018*'Bulk Calculator'!AA88*'Bulk Calculator'!O88/'Bulk Calculator'!J88/'Bulk Calculator'!K88*100),"")</f>
        <v>0</v>
      </c>
      <c r="J1018">
        <f>IFERROR(IF(AND(ISNUMBER(E1018),ISNUMBER(F1018),E1018&gt;0,F1018&gt;0),SQRT(3)*'Bulk Calculator'!O88*'Bulk Calculator'!U88*((E1018*'Bulk Calculator'!M88)+(F1018*SQRT(1-'Bulk Calculator'!M88^2)))/'Bulk Calculator'!J88/'Bulk Calculator'!K88*100,D1018*'Bulk Calculator'!U88*'Bulk Calculator'!O88/'Bulk Calculator'!J88/'Bulk Calculator'!K88*100),"")</f>
        <v>0</v>
      </c>
      <c r="K1018">
        <f>IFERROR(G1018*B1018*'Bulk Calculator'!J88/SQRT('Bulk Calculator'!S88)/1000,"")</f>
        <v>15.987886039123497</v>
      </c>
      <c r="L1018">
        <f>IF(OR('Bulk Calculator'!R88="",'Bulk Calculator'!S88="",G1018=""),0,IF(K1018&gt;='Bulk Calculator'!R88,1,0))</f>
        <v>1</v>
      </c>
      <c r="M1018">
        <f>IF(AND(H1018=1,I1018&lt;='OS-DORAEN'!$B$6,J1018&lt;='OS-DORAEN'!$B$5,L1018=1),1,0)</f>
        <v>1</v>
      </c>
      <c r="N1018" t="str">
        <f t="shared" si="15"/>
        <v>R/X</v>
      </c>
    </row>
    <row r="1019" spans="1:14" ht="15" customHeight="1" x14ac:dyDescent="0.35">
      <c r="A1019">
        <v>88</v>
      </c>
      <c r="B1019">
        <v>35</v>
      </c>
      <c r="C1019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Master'!$F:$F,B1019),"")</f>
        <v>117</v>
      </c>
      <c r="D1019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Master'!$F:$F,B1019),"")</f>
        <v>1.1100000000000001</v>
      </c>
      <c r="E1019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Master'!$F:$F,B1019),"")</f>
        <v>1.1100000000000001</v>
      </c>
      <c r="F1019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Master'!$F:$F,B1019),"")</f>
        <v>0.08</v>
      </c>
      <c r="G1019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Master'!$F:$F,B1019),"")</f>
        <v>143</v>
      </c>
      <c r="H1019">
        <f>IF(AND(ISNUMBER(C1019),C1019&gt;='Bulk Calculator'!U88/('Bulk Calculator'!J88*'Bulk Calculator'!L88)),1,0)</f>
        <v>1</v>
      </c>
      <c r="I1019">
        <f>IFERROR(IF(AND(ISNUMBER(E1019),ISNUMBER(F1019),E1019&gt;0,F1019&gt;0),SQRT(3)*'Bulk Calculator'!O88*'Bulk Calculator'!AA88*((E1019*'Bulk Calculator'!Q88)+(F1019*SQRT(1-'Bulk Calculator'!Q88^2)))/'Bulk Calculator'!J88/'Bulk Calculator'!K88*100,D1019*'Bulk Calculator'!AA88*'Bulk Calculator'!O88/'Bulk Calculator'!J88/'Bulk Calculator'!K88*100),"")</f>
        <v>0</v>
      </c>
      <c r="J1019">
        <f>IFERROR(IF(AND(ISNUMBER(E1019),ISNUMBER(F1019),E1019&gt;0,F1019&gt;0),SQRT(3)*'Bulk Calculator'!O88*'Bulk Calculator'!U88*((E1019*'Bulk Calculator'!M88)+(F1019*SQRT(1-'Bulk Calculator'!M88^2)))/'Bulk Calculator'!J88/'Bulk Calculator'!K88*100,D1019*'Bulk Calculator'!U88*'Bulk Calculator'!O88/'Bulk Calculator'!J88/'Bulk Calculator'!K88*100),"")</f>
        <v>0</v>
      </c>
      <c r="K1019">
        <f>IFERROR(G1019*B1019*'Bulk Calculator'!J88/SQRT('Bulk Calculator'!S88)/1000,"")</f>
        <v>11.191520227386446</v>
      </c>
      <c r="L1019">
        <f>IF(OR('Bulk Calculator'!R88="",'Bulk Calculator'!S88="",G1019=""),0,IF(K1019&gt;='Bulk Calculator'!R88,1,0))</f>
        <v>1</v>
      </c>
      <c r="M1019">
        <f>IF(AND(H1019=1,I1019&lt;='OS-DORAEN'!$B$6,J1019&lt;='OS-DORAEN'!$B$5,L1019=1),1,0)</f>
        <v>1</v>
      </c>
      <c r="N1019" t="str">
        <f t="shared" si="15"/>
        <v>R/X</v>
      </c>
    </row>
    <row r="1020" spans="1:14" ht="15" customHeight="1" x14ac:dyDescent="0.35">
      <c r="A1020">
        <v>88</v>
      </c>
      <c r="B1020">
        <v>25</v>
      </c>
      <c r="C1020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Master'!$F:$F,B1020),"")</f>
        <v>96</v>
      </c>
      <c r="D1020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Master'!$F:$F,B1020),"")</f>
        <v>1.54</v>
      </c>
      <c r="E1020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Master'!$F:$F,B1020),"")</f>
        <v>1.54</v>
      </c>
      <c r="F1020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Master'!$F:$F,B1020),"")</f>
        <v>0.08</v>
      </c>
      <c r="G1020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Master'!$F:$F,B1020),"")</f>
        <v>143</v>
      </c>
      <c r="H1020">
        <f>IF(AND(ISNUMBER(C1020),C1020&gt;='Bulk Calculator'!U88/('Bulk Calculator'!J88*'Bulk Calculator'!L88)),1,0)</f>
        <v>1</v>
      </c>
      <c r="I1020">
        <f>IFERROR(IF(AND(ISNUMBER(E1020),ISNUMBER(F1020),E1020&gt;0,F1020&gt;0),SQRT(3)*'Bulk Calculator'!O88*'Bulk Calculator'!AA88*((E1020*'Bulk Calculator'!Q88)+(F1020*SQRT(1-'Bulk Calculator'!Q88^2)))/'Bulk Calculator'!J88/'Bulk Calculator'!K88*100,D1020*'Bulk Calculator'!AA88*'Bulk Calculator'!O88/'Bulk Calculator'!J88/'Bulk Calculator'!K88*100),"")</f>
        <v>0</v>
      </c>
      <c r="J1020">
        <f>IFERROR(IF(AND(ISNUMBER(E1020),ISNUMBER(F1020),E1020&gt;0,F1020&gt;0),SQRT(3)*'Bulk Calculator'!O88*'Bulk Calculator'!U88*((E1020*'Bulk Calculator'!M88)+(F1020*SQRT(1-'Bulk Calculator'!M88^2)))/'Bulk Calculator'!J88/'Bulk Calculator'!K88*100,D1020*'Bulk Calculator'!U88*'Bulk Calculator'!O88/'Bulk Calculator'!J88/'Bulk Calculator'!K88*100),"")</f>
        <v>0</v>
      </c>
      <c r="K1020">
        <f>IFERROR(G1020*B1020*'Bulk Calculator'!J88/SQRT('Bulk Calculator'!S88)/1000,"")</f>
        <v>7.9939430195617485</v>
      </c>
      <c r="L1020">
        <f>IF(OR('Bulk Calculator'!R88="",'Bulk Calculator'!S88="",G1020=""),0,IF(K1020&gt;='Bulk Calculator'!R88,1,0))</f>
        <v>1</v>
      </c>
      <c r="M1020">
        <f>IF(AND(H1020=1,I1020&lt;='OS-DORAEN'!$B$6,J1020&lt;='OS-DORAEN'!$B$5,L1020=1),1,0)</f>
        <v>1</v>
      </c>
      <c r="N1020" t="str">
        <f t="shared" si="15"/>
        <v>R/X</v>
      </c>
    </row>
    <row r="1021" spans="1:14" ht="15" customHeight="1" x14ac:dyDescent="0.35">
      <c r="A1021">
        <v>88</v>
      </c>
      <c r="B1021">
        <v>16</v>
      </c>
      <c r="C1021">
        <f>IFERROR(SUMIFS('Cable Data Master'!$G:$G,'Cable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Master'!$F:$F,B1021),"")</f>
        <v>0</v>
      </c>
      <c r="D1021">
        <f>IFERROR(SUMIFS('Cable Data Master'!$K:$K,'Cable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Master'!$F:$F,B1021),"")</f>
        <v>0</v>
      </c>
      <c r="E1021">
        <f>IFERROR(SUMIFS('Cable Data Master'!$H:$H,'Cable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Master'!$F:$F,B1021),"")</f>
        <v>0</v>
      </c>
      <c r="F1021">
        <f>IFERROR(SUMIFS('Cable Data Master'!$I:$I,'Cable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Master'!$F:$F,B1021),"")</f>
        <v>0</v>
      </c>
      <c r="G1021">
        <f>IFERROR(SUMIFS('Cable Data Master'!$J:$J,'Cable Data Master'!$A:$A,'Bulk Calculator'!$BF88,'Cable Data Master'!$B:$B,'Bulk Calculator'!$BG88,'Cable Data Master'!$C:$C,'Bulk Calculator'!$BH88,'Cable Data Master'!$D:$D,'Bulk Calculator'!$BI88,'Cable Data Master'!$E:$E,'Bulk Calculator'!$BJ88,'Cable Data Master'!$F:$F,B1021),"")</f>
        <v>0</v>
      </c>
      <c r="H1021">
        <f>IF(AND(ISNUMBER(C1021),C1021&gt;='Bulk Calculator'!U88/('Bulk Calculator'!J88*'Bulk Calculator'!L88)),1,0)</f>
        <v>1</v>
      </c>
      <c r="I1021">
        <f>IFERROR(IF(AND(ISNUMBER(E1021),ISNUMBER(F1021),E1021&gt;0,F1021&gt;0),SQRT(3)*'Bulk Calculator'!O88*'Bulk Calculator'!AA88*((E1021*'Bulk Calculator'!Q88)+(F1021*SQRT(1-'Bulk Calculator'!Q88^2)))/'Bulk Calculator'!J88/'Bulk Calculator'!K88*100,D1021*'Bulk Calculator'!AA88*'Bulk Calculator'!O88/'Bulk Calculator'!J88/'Bulk Calculator'!K88*100),"")</f>
        <v>0</v>
      </c>
      <c r="J1021">
        <f>IFERROR(IF(AND(ISNUMBER(E1021),ISNUMBER(F1021),E1021&gt;0,F1021&gt;0),SQRT(3)*'Bulk Calculator'!O88*'Bulk Calculator'!U88*((E1021*'Bulk Calculator'!M88)+(F1021*SQRT(1-'Bulk Calculator'!M88^2)))/'Bulk Calculator'!J88/'Bulk Calculator'!K88*100,D1021*'Bulk Calculator'!U88*'Bulk Calculator'!O88/'Bulk Calculator'!J88/'Bulk Calculator'!K88*100),"")</f>
        <v>0</v>
      </c>
      <c r="K1021">
        <f>IFERROR(G1021*B1021*'Bulk Calculator'!J88/SQRT('Bulk Calculator'!S88)/1000,"")</f>
        <v>0</v>
      </c>
      <c r="L1021">
        <f>IF(OR('Bulk Calculator'!R88="",'Bulk Calculator'!S88="",G1021=""),0,IF(K1021&gt;='Bulk Calculator'!R88,1,0))</f>
        <v>1</v>
      </c>
      <c r="M1021">
        <f>IF(AND(H1021=1,I1021&lt;='OS-DORAEN'!$B$6,J1021&lt;='OS-DORAEN'!$B$5,L1021=1),1,0)</f>
        <v>1</v>
      </c>
      <c r="N1021" t="str">
        <f t="shared" si="15"/>
        <v>Manufacturer VD Ref</v>
      </c>
    </row>
    <row r="1022" spans="1:14" ht="15" customHeight="1" x14ac:dyDescent="0.35">
      <c r="A1022">
        <v>89</v>
      </c>
      <c r="B1022">
        <v>400</v>
      </c>
      <c r="C1022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Master'!$F:$F,B1022),"")</f>
        <v>530</v>
      </c>
      <c r="D1022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Master'!$F:$F,B1022),"")</f>
        <v>0.1023</v>
      </c>
      <c r="E1022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Master'!$F:$F,B1022),"")</f>
        <v>0.1023</v>
      </c>
      <c r="F1022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Master'!$F:$F,B1022),"")</f>
        <v>7.0000000000000007E-2</v>
      </c>
      <c r="G1022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Master'!$F:$F,B1022),"")</f>
        <v>143</v>
      </c>
      <c r="H1022">
        <f>IF(AND(ISNUMBER(C1022),C1022&gt;='Bulk Calculator'!U89/('Bulk Calculator'!J89*'Bulk Calculator'!L89)),1,0)</f>
        <v>1</v>
      </c>
      <c r="I1022">
        <f>IFERROR(IF(AND(ISNUMBER(E1022),ISNUMBER(F1022),E1022&gt;0,F1022&gt;0),SQRT(3)*'Bulk Calculator'!O89*'Bulk Calculator'!AA89*((E1022*'Bulk Calculator'!Q89)+(F1022*SQRT(1-'Bulk Calculator'!Q89^2)))/'Bulk Calculator'!J89/'Bulk Calculator'!K89*100,D1022*'Bulk Calculator'!AA89*'Bulk Calculator'!O89/'Bulk Calculator'!J89/'Bulk Calculator'!K89*100),"")</f>
        <v>0</v>
      </c>
      <c r="J1022">
        <f>IFERROR(IF(AND(ISNUMBER(E1022),ISNUMBER(F1022),E1022&gt;0,F1022&gt;0),SQRT(3)*'Bulk Calculator'!O89*'Bulk Calculator'!U89*((E1022*'Bulk Calculator'!M89)+(F1022*SQRT(1-'Bulk Calculator'!M89^2)))/'Bulk Calculator'!J89/'Bulk Calculator'!K89*100,D1022*'Bulk Calculator'!U89*'Bulk Calculator'!O89/'Bulk Calculator'!J89/'Bulk Calculator'!K89*100),"")</f>
        <v>0</v>
      </c>
      <c r="K1022">
        <f>IFERROR(G1022*B1022*'Bulk Calculator'!J89/SQRT('Bulk Calculator'!S89)/1000,"")</f>
        <v>127.90308831298798</v>
      </c>
      <c r="L1022">
        <f>IF(OR('Bulk Calculator'!R89="",'Bulk Calculator'!S89="",G1022=""),0,IF(K1022&gt;='Bulk Calculator'!R89,1,0))</f>
        <v>1</v>
      </c>
      <c r="M1022">
        <f>IF(AND(H1022=1,I1022&lt;='OS-DORAEN'!$B$6,J1022&lt;='OS-DORAEN'!$B$5,L1022=1),1,0)</f>
        <v>1</v>
      </c>
      <c r="N1022" t="str">
        <f t="shared" si="15"/>
        <v>R/X</v>
      </c>
    </row>
    <row r="1023" spans="1:14" ht="15" customHeight="1" x14ac:dyDescent="0.35">
      <c r="A1023">
        <v>89</v>
      </c>
      <c r="B1023">
        <v>300</v>
      </c>
      <c r="C1023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Master'!$F:$F,B1023),"")</f>
        <v>455</v>
      </c>
      <c r="D1023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Master'!$F:$F,B1023),"")</f>
        <v>0.13</v>
      </c>
      <c r="E1023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Master'!$F:$F,B1023),"")</f>
        <v>0.13</v>
      </c>
      <c r="F1023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Master'!$F:$F,B1023),"")</f>
        <v>7.0999999999999994E-2</v>
      </c>
      <c r="G1023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Master'!$F:$F,B1023),"")</f>
        <v>143</v>
      </c>
      <c r="H1023">
        <f>IF(AND(ISNUMBER(C1023),C1023&gt;='Bulk Calculator'!U89/('Bulk Calculator'!J89*'Bulk Calculator'!L89)),1,0)</f>
        <v>1</v>
      </c>
      <c r="I1023">
        <f>IFERROR(IF(AND(ISNUMBER(E1023),ISNUMBER(F1023),E1023&gt;0,F1023&gt;0),SQRT(3)*'Bulk Calculator'!O89*'Bulk Calculator'!AA89*((E1023*'Bulk Calculator'!Q89)+(F1023*SQRT(1-'Bulk Calculator'!Q89^2)))/'Bulk Calculator'!J89/'Bulk Calculator'!K89*100,D1023*'Bulk Calculator'!AA89*'Bulk Calculator'!O89/'Bulk Calculator'!J89/'Bulk Calculator'!K89*100),"")</f>
        <v>0</v>
      </c>
      <c r="J1023">
        <f>IFERROR(IF(AND(ISNUMBER(E1023),ISNUMBER(F1023),E1023&gt;0,F1023&gt;0),SQRT(3)*'Bulk Calculator'!O89*'Bulk Calculator'!U89*((E1023*'Bulk Calculator'!M89)+(F1023*SQRT(1-'Bulk Calculator'!M89^2)))/'Bulk Calculator'!J89/'Bulk Calculator'!K89*100,D1023*'Bulk Calculator'!U89*'Bulk Calculator'!O89/'Bulk Calculator'!J89/'Bulk Calculator'!K89*100),"")</f>
        <v>0</v>
      </c>
      <c r="K1023">
        <f>IFERROR(G1023*B1023*'Bulk Calculator'!J89/SQRT('Bulk Calculator'!S89)/1000,"")</f>
        <v>95.927316234740985</v>
      </c>
      <c r="L1023">
        <f>IF(OR('Bulk Calculator'!R89="",'Bulk Calculator'!S89="",G1023=""),0,IF(K1023&gt;='Bulk Calculator'!R89,1,0))</f>
        <v>1</v>
      </c>
      <c r="M1023">
        <f>IF(AND(H1023=1,I1023&lt;='OS-DORAEN'!$B$6,J1023&lt;='OS-DORAEN'!$B$5,L1023=1),1,0)</f>
        <v>1</v>
      </c>
      <c r="N1023" t="str">
        <f t="shared" si="15"/>
        <v>R/X</v>
      </c>
    </row>
    <row r="1024" spans="1:14" ht="15" customHeight="1" x14ac:dyDescent="0.35">
      <c r="A1024">
        <v>89</v>
      </c>
      <c r="B1024">
        <v>240</v>
      </c>
      <c r="C1024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Master'!$F:$F,B1024),"")</f>
        <v>399</v>
      </c>
      <c r="D1024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Master'!$F:$F,B1024),"")</f>
        <v>0.16200000000000001</v>
      </c>
      <c r="E1024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Master'!$F:$F,B1024),"")</f>
        <v>0.16200000000000001</v>
      </c>
      <c r="F1024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Master'!$F:$F,B1024),"")</f>
        <v>7.1999999999999995E-2</v>
      </c>
      <c r="G1024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Master'!$F:$F,B1024),"")</f>
        <v>143</v>
      </c>
      <c r="H1024">
        <f>IF(AND(ISNUMBER(C1024),C1024&gt;='Bulk Calculator'!U89/('Bulk Calculator'!J89*'Bulk Calculator'!L89)),1,0)</f>
        <v>1</v>
      </c>
      <c r="I1024">
        <f>IFERROR(IF(AND(ISNUMBER(E1024),ISNUMBER(F1024),E1024&gt;0,F1024&gt;0),SQRT(3)*'Bulk Calculator'!O89*'Bulk Calculator'!AA89*((E1024*'Bulk Calculator'!Q89)+(F1024*SQRT(1-'Bulk Calculator'!Q89^2)))/'Bulk Calculator'!J89/'Bulk Calculator'!K89*100,D1024*'Bulk Calculator'!AA89*'Bulk Calculator'!O89/'Bulk Calculator'!J89/'Bulk Calculator'!K89*100),"")</f>
        <v>0</v>
      </c>
      <c r="J1024">
        <f>IFERROR(IF(AND(ISNUMBER(E1024),ISNUMBER(F1024),E1024&gt;0,F1024&gt;0),SQRT(3)*'Bulk Calculator'!O89*'Bulk Calculator'!U89*((E1024*'Bulk Calculator'!M89)+(F1024*SQRT(1-'Bulk Calculator'!M89^2)))/'Bulk Calculator'!J89/'Bulk Calculator'!K89*100,D1024*'Bulk Calculator'!U89*'Bulk Calculator'!O89/'Bulk Calculator'!J89/'Bulk Calculator'!K89*100),"")</f>
        <v>0</v>
      </c>
      <c r="K1024">
        <f>IFERROR(G1024*B1024*'Bulk Calculator'!J89/SQRT('Bulk Calculator'!S89)/1000,"")</f>
        <v>76.741852987792782</v>
      </c>
      <c r="L1024">
        <f>IF(OR('Bulk Calculator'!R89="",'Bulk Calculator'!S89="",G1024=""),0,IF(K1024&gt;='Bulk Calculator'!R89,1,0))</f>
        <v>1</v>
      </c>
      <c r="M1024">
        <f>IF(AND(H1024=1,I1024&lt;='OS-DORAEN'!$B$6,J1024&lt;='OS-DORAEN'!$B$5,L1024=1),1,0)</f>
        <v>1</v>
      </c>
      <c r="N1024" t="str">
        <f t="shared" si="15"/>
        <v>R/X</v>
      </c>
    </row>
    <row r="1025" spans="1:14" ht="15" customHeight="1" x14ac:dyDescent="0.35">
      <c r="A1025">
        <v>89</v>
      </c>
      <c r="B1025">
        <v>185</v>
      </c>
      <c r="C1025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Master'!$F:$F,B1025),"")</f>
        <v>337</v>
      </c>
      <c r="D1025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Master'!$F:$F,B1025),"")</f>
        <v>0.21099999999999999</v>
      </c>
      <c r="E1025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Master'!$F:$F,B1025),"")</f>
        <v>0.21099999999999999</v>
      </c>
      <c r="F1025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Master'!$F:$F,B1025),"")</f>
        <v>7.1999999999999995E-2</v>
      </c>
      <c r="G1025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Master'!$F:$F,B1025),"")</f>
        <v>143</v>
      </c>
      <c r="H1025">
        <f>IF(AND(ISNUMBER(C1025),C1025&gt;='Bulk Calculator'!U89/('Bulk Calculator'!J89*'Bulk Calculator'!L89)),1,0)</f>
        <v>1</v>
      </c>
      <c r="I1025">
        <f>IFERROR(IF(AND(ISNUMBER(E1025),ISNUMBER(F1025),E1025&gt;0,F1025&gt;0),SQRT(3)*'Bulk Calculator'!O89*'Bulk Calculator'!AA89*((E1025*'Bulk Calculator'!Q89)+(F1025*SQRT(1-'Bulk Calculator'!Q89^2)))/'Bulk Calculator'!J89/'Bulk Calculator'!K89*100,D1025*'Bulk Calculator'!AA89*'Bulk Calculator'!O89/'Bulk Calculator'!J89/'Bulk Calculator'!K89*100),"")</f>
        <v>0</v>
      </c>
      <c r="J1025">
        <f>IFERROR(IF(AND(ISNUMBER(E1025),ISNUMBER(F1025),E1025&gt;0,F1025&gt;0),SQRT(3)*'Bulk Calculator'!O89*'Bulk Calculator'!U89*((E1025*'Bulk Calculator'!M89)+(F1025*SQRT(1-'Bulk Calculator'!M89^2)))/'Bulk Calculator'!J89/'Bulk Calculator'!K89*100,D1025*'Bulk Calculator'!U89*'Bulk Calculator'!O89/'Bulk Calculator'!J89/'Bulk Calculator'!K89*100),"")</f>
        <v>0</v>
      </c>
      <c r="K1025">
        <f>IFERROR(G1025*B1025*'Bulk Calculator'!J89/SQRT('Bulk Calculator'!S89)/1000,"")</f>
        <v>59.155178344756941</v>
      </c>
      <c r="L1025">
        <f>IF(OR('Bulk Calculator'!R89="",'Bulk Calculator'!S89="",G1025=""),0,IF(K1025&gt;='Bulk Calculator'!R89,1,0))</f>
        <v>1</v>
      </c>
      <c r="M1025">
        <f>IF(AND(H1025=1,I1025&lt;='OS-DORAEN'!$B$6,J1025&lt;='OS-DORAEN'!$B$5,L1025=1),1,0)</f>
        <v>1</v>
      </c>
      <c r="N1025" t="str">
        <f t="shared" si="15"/>
        <v>R/X</v>
      </c>
    </row>
    <row r="1026" spans="1:14" ht="15" customHeight="1" x14ac:dyDescent="0.35">
      <c r="A1026">
        <v>89</v>
      </c>
      <c r="B1026">
        <v>150</v>
      </c>
      <c r="C1026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Master'!$F:$F,B1026),"")</f>
        <v>292</v>
      </c>
      <c r="D1026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Master'!$F:$F,B1026),"")</f>
        <v>0.26500000000000001</v>
      </c>
      <c r="E1026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Master'!$F:$F,B1026),"")</f>
        <v>0.26500000000000001</v>
      </c>
      <c r="F1026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Master'!$F:$F,B1026),"")</f>
        <v>7.1999999999999995E-2</v>
      </c>
      <c r="G1026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Master'!$F:$F,B1026),"")</f>
        <v>143</v>
      </c>
      <c r="H1026">
        <f>IF(AND(ISNUMBER(C1026),C1026&gt;='Bulk Calculator'!U89/('Bulk Calculator'!J89*'Bulk Calculator'!L89)),1,0)</f>
        <v>1</v>
      </c>
      <c r="I1026">
        <f>IFERROR(IF(AND(ISNUMBER(E1026),ISNUMBER(F1026),E1026&gt;0,F1026&gt;0),SQRT(3)*'Bulk Calculator'!O89*'Bulk Calculator'!AA89*((E1026*'Bulk Calculator'!Q89)+(F1026*SQRT(1-'Bulk Calculator'!Q89^2)))/'Bulk Calculator'!J89/'Bulk Calculator'!K89*100,D1026*'Bulk Calculator'!AA89*'Bulk Calculator'!O89/'Bulk Calculator'!J89/'Bulk Calculator'!K89*100),"")</f>
        <v>0</v>
      </c>
      <c r="J1026">
        <f>IFERROR(IF(AND(ISNUMBER(E1026),ISNUMBER(F1026),E1026&gt;0,F1026&gt;0),SQRT(3)*'Bulk Calculator'!O89*'Bulk Calculator'!U89*((E1026*'Bulk Calculator'!M89)+(F1026*SQRT(1-'Bulk Calculator'!M89^2)))/'Bulk Calculator'!J89/'Bulk Calculator'!K89*100,D1026*'Bulk Calculator'!U89*'Bulk Calculator'!O89/'Bulk Calculator'!J89/'Bulk Calculator'!K89*100),"")</f>
        <v>0</v>
      </c>
      <c r="K1026">
        <f>IFERROR(G1026*B1026*'Bulk Calculator'!J89/SQRT('Bulk Calculator'!S89)/1000,"")</f>
        <v>47.963658117370493</v>
      </c>
      <c r="L1026">
        <f>IF(OR('Bulk Calculator'!R89="",'Bulk Calculator'!S89="",G1026=""),0,IF(K1026&gt;='Bulk Calculator'!R89,1,0))</f>
        <v>1</v>
      </c>
      <c r="M1026">
        <f>IF(AND(H1026=1,I1026&lt;='OS-DORAEN'!$B$6,J1026&lt;='OS-DORAEN'!$B$5,L1026=1),1,0)</f>
        <v>1</v>
      </c>
      <c r="N1026" t="str">
        <f t="shared" ref="N1026:N1089" si="16">IF(AND(ISNUMBER(E1026),ISNUMBER(F1026),E1026&gt;0,F1026&gt;0),"R/X","Manufacturer VD Ref")</f>
        <v>R/X</v>
      </c>
    </row>
    <row r="1027" spans="1:14" ht="15" customHeight="1" x14ac:dyDescent="0.35">
      <c r="A1027">
        <v>89</v>
      </c>
      <c r="B1027">
        <v>120</v>
      </c>
      <c r="C1027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Master'!$F:$F,B1027),"")</f>
        <v>257</v>
      </c>
      <c r="D1027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Master'!$F:$F,B1027),"")</f>
        <v>0.32500000000000001</v>
      </c>
      <c r="E1027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Master'!$F:$F,B1027),"")</f>
        <v>0.32500000000000001</v>
      </c>
      <c r="F1027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Master'!$F:$F,B1027),"")</f>
        <v>7.1999999999999995E-2</v>
      </c>
      <c r="G1027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Master'!$F:$F,B1027),"")</f>
        <v>143</v>
      </c>
      <c r="H1027">
        <f>IF(AND(ISNUMBER(C1027),C1027&gt;='Bulk Calculator'!U89/('Bulk Calculator'!J89*'Bulk Calculator'!L89)),1,0)</f>
        <v>1</v>
      </c>
      <c r="I1027">
        <f>IFERROR(IF(AND(ISNUMBER(E1027),ISNUMBER(F1027),E1027&gt;0,F1027&gt;0),SQRT(3)*'Bulk Calculator'!O89*'Bulk Calculator'!AA89*((E1027*'Bulk Calculator'!Q89)+(F1027*SQRT(1-'Bulk Calculator'!Q89^2)))/'Bulk Calculator'!J89/'Bulk Calculator'!K89*100,D1027*'Bulk Calculator'!AA89*'Bulk Calculator'!O89/'Bulk Calculator'!J89/'Bulk Calculator'!K89*100),"")</f>
        <v>0</v>
      </c>
      <c r="J1027">
        <f>IFERROR(IF(AND(ISNUMBER(E1027),ISNUMBER(F1027),E1027&gt;0,F1027&gt;0),SQRT(3)*'Bulk Calculator'!O89*'Bulk Calculator'!U89*((E1027*'Bulk Calculator'!M89)+(F1027*SQRT(1-'Bulk Calculator'!M89^2)))/'Bulk Calculator'!J89/'Bulk Calculator'!K89*100,D1027*'Bulk Calculator'!U89*'Bulk Calculator'!O89/'Bulk Calculator'!J89/'Bulk Calculator'!K89*100),"")</f>
        <v>0</v>
      </c>
      <c r="K1027">
        <f>IFERROR(G1027*B1027*'Bulk Calculator'!J89/SQRT('Bulk Calculator'!S89)/1000,"")</f>
        <v>38.370926493896391</v>
      </c>
      <c r="L1027">
        <f>IF(OR('Bulk Calculator'!R89="",'Bulk Calculator'!S89="",G1027=""),0,IF(K1027&gt;='Bulk Calculator'!R89,1,0))</f>
        <v>1</v>
      </c>
      <c r="M1027">
        <f>IF(AND(H1027=1,I1027&lt;='OS-DORAEN'!$B$6,J1027&lt;='OS-DORAEN'!$B$5,L1027=1),1,0)</f>
        <v>1</v>
      </c>
      <c r="N1027" t="str">
        <f t="shared" si="16"/>
        <v>R/X</v>
      </c>
    </row>
    <row r="1028" spans="1:14" ht="15" customHeight="1" x14ac:dyDescent="0.35">
      <c r="A1028">
        <v>89</v>
      </c>
      <c r="B1028">
        <v>95</v>
      </c>
      <c r="C1028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Master'!$F:$F,B1028),"")</f>
        <v>221</v>
      </c>
      <c r="D1028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Master'!$F:$F,B1028),"")</f>
        <v>0.41</v>
      </c>
      <c r="E1028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Master'!$F:$F,B1028),"")</f>
        <v>0.41</v>
      </c>
      <c r="F1028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Master'!$F:$F,B1028),"")</f>
        <v>7.3999999999999996E-2</v>
      </c>
      <c r="G1028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Master'!$F:$F,B1028),"")</f>
        <v>143</v>
      </c>
      <c r="H1028">
        <f>IF(AND(ISNUMBER(C1028),C1028&gt;='Bulk Calculator'!U89/('Bulk Calculator'!J89*'Bulk Calculator'!L89)),1,0)</f>
        <v>1</v>
      </c>
      <c r="I1028">
        <f>IFERROR(IF(AND(ISNUMBER(E1028),ISNUMBER(F1028),E1028&gt;0,F1028&gt;0),SQRT(3)*'Bulk Calculator'!O89*'Bulk Calculator'!AA89*((E1028*'Bulk Calculator'!Q89)+(F1028*SQRT(1-'Bulk Calculator'!Q89^2)))/'Bulk Calculator'!J89/'Bulk Calculator'!K89*100,D1028*'Bulk Calculator'!AA89*'Bulk Calculator'!O89/'Bulk Calculator'!J89/'Bulk Calculator'!K89*100),"")</f>
        <v>0</v>
      </c>
      <c r="J1028">
        <f>IFERROR(IF(AND(ISNUMBER(E1028),ISNUMBER(F1028),E1028&gt;0,F1028&gt;0),SQRT(3)*'Bulk Calculator'!O89*'Bulk Calculator'!U89*((E1028*'Bulk Calculator'!M89)+(F1028*SQRT(1-'Bulk Calculator'!M89^2)))/'Bulk Calculator'!J89/'Bulk Calculator'!K89*100,D1028*'Bulk Calculator'!U89*'Bulk Calculator'!O89/'Bulk Calculator'!J89/'Bulk Calculator'!K89*100),"")</f>
        <v>0</v>
      </c>
      <c r="K1028">
        <f>IFERROR(G1028*B1028*'Bulk Calculator'!J89/SQRT('Bulk Calculator'!S89)/1000,"")</f>
        <v>30.376983474334644</v>
      </c>
      <c r="L1028">
        <f>IF(OR('Bulk Calculator'!R89="",'Bulk Calculator'!S89="",G1028=""),0,IF(K1028&gt;='Bulk Calculator'!R89,1,0))</f>
        <v>1</v>
      </c>
      <c r="M1028">
        <f>IF(AND(H1028=1,I1028&lt;='OS-DORAEN'!$B$6,J1028&lt;='OS-DORAEN'!$B$5,L1028=1),1,0)</f>
        <v>1</v>
      </c>
      <c r="N1028" t="str">
        <f t="shared" si="16"/>
        <v>R/X</v>
      </c>
    </row>
    <row r="1029" spans="1:14" ht="15" customHeight="1" x14ac:dyDescent="0.35">
      <c r="A1029">
        <v>89</v>
      </c>
      <c r="B1029">
        <v>70</v>
      </c>
      <c r="C1029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Master'!$F:$F,B1029),"")</f>
        <v>179</v>
      </c>
      <c r="D1029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Master'!$F:$F,B1029),"")</f>
        <v>0.56699999999999995</v>
      </c>
      <c r="E1029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Master'!$F:$F,B1029),"")</f>
        <v>0.56699999999999995</v>
      </c>
      <c r="F1029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Master'!$F:$F,B1029),"")</f>
        <v>7.6999999999999999E-2</v>
      </c>
      <c r="G1029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Master'!$F:$F,B1029),"")</f>
        <v>143</v>
      </c>
      <c r="H1029">
        <f>IF(AND(ISNUMBER(C1029),C1029&gt;='Bulk Calculator'!U89/('Bulk Calculator'!J89*'Bulk Calculator'!L89)),1,0)</f>
        <v>1</v>
      </c>
      <c r="I1029">
        <f>IFERROR(IF(AND(ISNUMBER(E1029),ISNUMBER(F1029),E1029&gt;0,F1029&gt;0),SQRT(3)*'Bulk Calculator'!O89*'Bulk Calculator'!AA89*((E1029*'Bulk Calculator'!Q89)+(F1029*SQRT(1-'Bulk Calculator'!Q89^2)))/'Bulk Calculator'!J89/'Bulk Calculator'!K89*100,D1029*'Bulk Calculator'!AA89*'Bulk Calculator'!O89/'Bulk Calculator'!J89/'Bulk Calculator'!K89*100),"")</f>
        <v>0</v>
      </c>
      <c r="J1029">
        <f>IFERROR(IF(AND(ISNUMBER(E1029),ISNUMBER(F1029),E1029&gt;0,F1029&gt;0),SQRT(3)*'Bulk Calculator'!O89*'Bulk Calculator'!U89*((E1029*'Bulk Calculator'!M89)+(F1029*SQRT(1-'Bulk Calculator'!M89^2)))/'Bulk Calculator'!J89/'Bulk Calculator'!K89*100,D1029*'Bulk Calculator'!U89*'Bulk Calculator'!O89/'Bulk Calculator'!J89/'Bulk Calculator'!K89*100),"")</f>
        <v>0</v>
      </c>
      <c r="K1029">
        <f>IFERROR(G1029*B1029*'Bulk Calculator'!J89/SQRT('Bulk Calculator'!S89)/1000,"")</f>
        <v>22.383040454772893</v>
      </c>
      <c r="L1029">
        <f>IF(OR('Bulk Calculator'!R89="",'Bulk Calculator'!S89="",G1029=""),0,IF(K1029&gt;='Bulk Calculator'!R89,1,0))</f>
        <v>1</v>
      </c>
      <c r="M1029">
        <f>IF(AND(H1029=1,I1029&lt;='OS-DORAEN'!$B$6,J1029&lt;='OS-DORAEN'!$B$5,L1029=1),1,0)</f>
        <v>1</v>
      </c>
      <c r="N1029" t="str">
        <f t="shared" si="16"/>
        <v>R/X</v>
      </c>
    </row>
    <row r="1030" spans="1:14" ht="15" customHeight="1" x14ac:dyDescent="0.35">
      <c r="A1030">
        <v>89</v>
      </c>
      <c r="B1030">
        <v>50</v>
      </c>
      <c r="C1030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Master'!$F:$F,B1030),"")</f>
        <v>142</v>
      </c>
      <c r="D1030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Master'!$F:$F,B1030),"")</f>
        <v>0.82</v>
      </c>
      <c r="E1030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Master'!$F:$F,B1030),"")</f>
        <v>0.82</v>
      </c>
      <c r="F1030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Master'!$F:$F,B1030),"")</f>
        <v>7.8E-2</v>
      </c>
      <c r="G1030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Master'!$F:$F,B1030),"")</f>
        <v>143</v>
      </c>
      <c r="H1030">
        <f>IF(AND(ISNUMBER(C1030),C1030&gt;='Bulk Calculator'!U89/('Bulk Calculator'!J89*'Bulk Calculator'!L89)),1,0)</f>
        <v>1</v>
      </c>
      <c r="I1030">
        <f>IFERROR(IF(AND(ISNUMBER(E1030),ISNUMBER(F1030),E1030&gt;0,F1030&gt;0),SQRT(3)*'Bulk Calculator'!O89*'Bulk Calculator'!AA89*((E1030*'Bulk Calculator'!Q89)+(F1030*SQRT(1-'Bulk Calculator'!Q89^2)))/'Bulk Calculator'!J89/'Bulk Calculator'!K89*100,D1030*'Bulk Calculator'!AA89*'Bulk Calculator'!O89/'Bulk Calculator'!J89/'Bulk Calculator'!K89*100),"")</f>
        <v>0</v>
      </c>
      <c r="J1030">
        <f>IFERROR(IF(AND(ISNUMBER(E1030),ISNUMBER(F1030),E1030&gt;0,F1030&gt;0),SQRT(3)*'Bulk Calculator'!O89*'Bulk Calculator'!U89*((E1030*'Bulk Calculator'!M89)+(F1030*SQRT(1-'Bulk Calculator'!M89^2)))/'Bulk Calculator'!J89/'Bulk Calculator'!K89*100,D1030*'Bulk Calculator'!U89*'Bulk Calculator'!O89/'Bulk Calculator'!J89/'Bulk Calculator'!K89*100),"")</f>
        <v>0</v>
      </c>
      <c r="K1030">
        <f>IFERROR(G1030*B1030*'Bulk Calculator'!J89/SQRT('Bulk Calculator'!S89)/1000,"")</f>
        <v>15.987886039123497</v>
      </c>
      <c r="L1030">
        <f>IF(OR('Bulk Calculator'!R89="",'Bulk Calculator'!S89="",G1030=""),0,IF(K1030&gt;='Bulk Calculator'!R89,1,0))</f>
        <v>1</v>
      </c>
      <c r="M1030">
        <f>IF(AND(H1030=1,I1030&lt;='OS-DORAEN'!$B$6,J1030&lt;='OS-DORAEN'!$B$5,L1030=1),1,0)</f>
        <v>1</v>
      </c>
      <c r="N1030" t="str">
        <f t="shared" si="16"/>
        <v>R/X</v>
      </c>
    </row>
    <row r="1031" spans="1:14" ht="15" customHeight="1" x14ac:dyDescent="0.35">
      <c r="A1031">
        <v>89</v>
      </c>
      <c r="B1031">
        <v>35</v>
      </c>
      <c r="C1031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Master'!$F:$F,B1031),"")</f>
        <v>117</v>
      </c>
      <c r="D1031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Master'!$F:$F,B1031),"")</f>
        <v>1.1100000000000001</v>
      </c>
      <c r="E1031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Master'!$F:$F,B1031),"")</f>
        <v>1.1100000000000001</v>
      </c>
      <c r="F1031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Master'!$F:$F,B1031),"")</f>
        <v>0.08</v>
      </c>
      <c r="G1031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Master'!$F:$F,B1031),"")</f>
        <v>143</v>
      </c>
      <c r="H1031">
        <f>IF(AND(ISNUMBER(C1031),C1031&gt;='Bulk Calculator'!U89/('Bulk Calculator'!J89*'Bulk Calculator'!L89)),1,0)</f>
        <v>1</v>
      </c>
      <c r="I1031">
        <f>IFERROR(IF(AND(ISNUMBER(E1031),ISNUMBER(F1031),E1031&gt;0,F1031&gt;0),SQRT(3)*'Bulk Calculator'!O89*'Bulk Calculator'!AA89*((E1031*'Bulk Calculator'!Q89)+(F1031*SQRT(1-'Bulk Calculator'!Q89^2)))/'Bulk Calculator'!J89/'Bulk Calculator'!K89*100,D1031*'Bulk Calculator'!AA89*'Bulk Calculator'!O89/'Bulk Calculator'!J89/'Bulk Calculator'!K89*100),"")</f>
        <v>0</v>
      </c>
      <c r="J1031">
        <f>IFERROR(IF(AND(ISNUMBER(E1031),ISNUMBER(F1031),E1031&gt;0,F1031&gt;0),SQRT(3)*'Bulk Calculator'!O89*'Bulk Calculator'!U89*((E1031*'Bulk Calculator'!M89)+(F1031*SQRT(1-'Bulk Calculator'!M89^2)))/'Bulk Calculator'!J89/'Bulk Calculator'!K89*100,D1031*'Bulk Calculator'!U89*'Bulk Calculator'!O89/'Bulk Calculator'!J89/'Bulk Calculator'!K89*100),"")</f>
        <v>0</v>
      </c>
      <c r="K1031">
        <f>IFERROR(G1031*B1031*'Bulk Calculator'!J89/SQRT('Bulk Calculator'!S89)/1000,"")</f>
        <v>11.191520227386446</v>
      </c>
      <c r="L1031">
        <f>IF(OR('Bulk Calculator'!R89="",'Bulk Calculator'!S89="",G1031=""),0,IF(K1031&gt;='Bulk Calculator'!R89,1,0))</f>
        <v>1</v>
      </c>
      <c r="M1031">
        <f>IF(AND(H1031=1,I1031&lt;='OS-DORAEN'!$B$6,J1031&lt;='OS-DORAEN'!$B$5,L1031=1),1,0)</f>
        <v>1</v>
      </c>
      <c r="N1031" t="str">
        <f t="shared" si="16"/>
        <v>R/X</v>
      </c>
    </row>
    <row r="1032" spans="1:14" ht="15" customHeight="1" x14ac:dyDescent="0.35">
      <c r="A1032">
        <v>89</v>
      </c>
      <c r="B1032">
        <v>25</v>
      </c>
      <c r="C1032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Master'!$F:$F,B1032),"")</f>
        <v>96</v>
      </c>
      <c r="D1032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Master'!$F:$F,B1032),"")</f>
        <v>1.54</v>
      </c>
      <c r="E1032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Master'!$F:$F,B1032),"")</f>
        <v>1.54</v>
      </c>
      <c r="F1032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Master'!$F:$F,B1032),"")</f>
        <v>0.08</v>
      </c>
      <c r="G1032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Master'!$F:$F,B1032),"")</f>
        <v>143</v>
      </c>
      <c r="H1032">
        <f>IF(AND(ISNUMBER(C1032),C1032&gt;='Bulk Calculator'!U89/('Bulk Calculator'!J89*'Bulk Calculator'!L89)),1,0)</f>
        <v>1</v>
      </c>
      <c r="I1032">
        <f>IFERROR(IF(AND(ISNUMBER(E1032),ISNUMBER(F1032),E1032&gt;0,F1032&gt;0),SQRT(3)*'Bulk Calculator'!O89*'Bulk Calculator'!AA89*((E1032*'Bulk Calculator'!Q89)+(F1032*SQRT(1-'Bulk Calculator'!Q89^2)))/'Bulk Calculator'!J89/'Bulk Calculator'!K89*100,D1032*'Bulk Calculator'!AA89*'Bulk Calculator'!O89/'Bulk Calculator'!J89/'Bulk Calculator'!K89*100),"")</f>
        <v>0</v>
      </c>
      <c r="J1032">
        <f>IFERROR(IF(AND(ISNUMBER(E1032),ISNUMBER(F1032),E1032&gt;0,F1032&gt;0),SQRT(3)*'Bulk Calculator'!O89*'Bulk Calculator'!U89*((E1032*'Bulk Calculator'!M89)+(F1032*SQRT(1-'Bulk Calculator'!M89^2)))/'Bulk Calculator'!J89/'Bulk Calculator'!K89*100,D1032*'Bulk Calculator'!U89*'Bulk Calculator'!O89/'Bulk Calculator'!J89/'Bulk Calculator'!K89*100),"")</f>
        <v>0</v>
      </c>
      <c r="K1032">
        <f>IFERROR(G1032*B1032*'Bulk Calculator'!J89/SQRT('Bulk Calculator'!S89)/1000,"")</f>
        <v>7.9939430195617485</v>
      </c>
      <c r="L1032">
        <f>IF(OR('Bulk Calculator'!R89="",'Bulk Calculator'!S89="",G1032=""),0,IF(K1032&gt;='Bulk Calculator'!R89,1,0))</f>
        <v>1</v>
      </c>
      <c r="M1032">
        <f>IF(AND(H1032=1,I1032&lt;='OS-DORAEN'!$B$6,J1032&lt;='OS-DORAEN'!$B$5,L1032=1),1,0)</f>
        <v>1</v>
      </c>
      <c r="N1032" t="str">
        <f t="shared" si="16"/>
        <v>R/X</v>
      </c>
    </row>
    <row r="1033" spans="1:14" ht="15" customHeight="1" x14ac:dyDescent="0.35">
      <c r="A1033">
        <v>89</v>
      </c>
      <c r="B1033">
        <v>16</v>
      </c>
      <c r="C1033">
        <f>IFERROR(SUMIFS('Cable Data Master'!$G:$G,'Cable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Master'!$F:$F,B1033),"")</f>
        <v>0</v>
      </c>
      <c r="D1033">
        <f>IFERROR(SUMIFS('Cable Data Master'!$K:$K,'Cable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Master'!$F:$F,B1033),"")</f>
        <v>0</v>
      </c>
      <c r="E1033">
        <f>IFERROR(SUMIFS('Cable Data Master'!$H:$H,'Cable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Master'!$F:$F,B1033),"")</f>
        <v>0</v>
      </c>
      <c r="F1033">
        <f>IFERROR(SUMIFS('Cable Data Master'!$I:$I,'Cable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Master'!$F:$F,B1033),"")</f>
        <v>0</v>
      </c>
      <c r="G1033">
        <f>IFERROR(SUMIFS('Cable Data Master'!$J:$J,'Cable Data Master'!$A:$A,'Bulk Calculator'!$BF89,'Cable Data Master'!$B:$B,'Bulk Calculator'!$BG89,'Cable Data Master'!$C:$C,'Bulk Calculator'!$BH89,'Cable Data Master'!$D:$D,'Bulk Calculator'!$BI89,'Cable Data Master'!$E:$E,'Bulk Calculator'!$BJ89,'Cable Data Master'!$F:$F,B1033),"")</f>
        <v>0</v>
      </c>
      <c r="H1033">
        <f>IF(AND(ISNUMBER(C1033),C1033&gt;='Bulk Calculator'!U89/('Bulk Calculator'!J89*'Bulk Calculator'!L89)),1,0)</f>
        <v>1</v>
      </c>
      <c r="I1033">
        <f>IFERROR(IF(AND(ISNUMBER(E1033),ISNUMBER(F1033),E1033&gt;0,F1033&gt;0),SQRT(3)*'Bulk Calculator'!O89*'Bulk Calculator'!AA89*((E1033*'Bulk Calculator'!Q89)+(F1033*SQRT(1-'Bulk Calculator'!Q89^2)))/'Bulk Calculator'!J89/'Bulk Calculator'!K89*100,D1033*'Bulk Calculator'!AA89*'Bulk Calculator'!O89/'Bulk Calculator'!J89/'Bulk Calculator'!K89*100),"")</f>
        <v>0</v>
      </c>
      <c r="J1033">
        <f>IFERROR(IF(AND(ISNUMBER(E1033),ISNUMBER(F1033),E1033&gt;0,F1033&gt;0),SQRT(3)*'Bulk Calculator'!O89*'Bulk Calculator'!U89*((E1033*'Bulk Calculator'!M89)+(F1033*SQRT(1-'Bulk Calculator'!M89^2)))/'Bulk Calculator'!J89/'Bulk Calculator'!K89*100,D1033*'Bulk Calculator'!U89*'Bulk Calculator'!O89/'Bulk Calculator'!J89/'Bulk Calculator'!K89*100),"")</f>
        <v>0</v>
      </c>
      <c r="K1033">
        <f>IFERROR(G1033*B1033*'Bulk Calculator'!J89/SQRT('Bulk Calculator'!S89)/1000,"")</f>
        <v>0</v>
      </c>
      <c r="L1033">
        <f>IF(OR('Bulk Calculator'!R89="",'Bulk Calculator'!S89="",G1033=""),0,IF(K1033&gt;='Bulk Calculator'!R89,1,0))</f>
        <v>1</v>
      </c>
      <c r="M1033">
        <f>IF(AND(H1033=1,I1033&lt;='OS-DORAEN'!$B$6,J1033&lt;='OS-DORAEN'!$B$5,L1033=1),1,0)</f>
        <v>1</v>
      </c>
      <c r="N1033" t="str">
        <f t="shared" si="16"/>
        <v>Manufacturer VD Ref</v>
      </c>
    </row>
    <row r="1034" spans="1:14" ht="15" customHeight="1" x14ac:dyDescent="0.35">
      <c r="A1034">
        <v>90</v>
      </c>
      <c r="B1034">
        <v>400</v>
      </c>
      <c r="C1034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Master'!$F:$F,B1034),"")</f>
        <v>530</v>
      </c>
      <c r="D1034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Master'!$F:$F,B1034),"")</f>
        <v>0.1023</v>
      </c>
      <c r="E1034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Master'!$F:$F,B1034),"")</f>
        <v>0.1023</v>
      </c>
      <c r="F1034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Master'!$F:$F,B1034),"")</f>
        <v>7.0000000000000007E-2</v>
      </c>
      <c r="G1034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Master'!$F:$F,B1034),"")</f>
        <v>143</v>
      </c>
      <c r="H1034">
        <f>IF(AND(ISNUMBER(C1034),C1034&gt;='Bulk Calculator'!U90/('Bulk Calculator'!J90*'Bulk Calculator'!L90)),1,0)</f>
        <v>1</v>
      </c>
      <c r="I1034">
        <f>IFERROR(IF(AND(ISNUMBER(E1034),ISNUMBER(F1034),E1034&gt;0,F1034&gt;0),SQRT(3)*'Bulk Calculator'!O90*'Bulk Calculator'!AA90*((E1034*'Bulk Calculator'!Q90)+(F1034*SQRT(1-'Bulk Calculator'!Q90^2)))/'Bulk Calculator'!J90/'Bulk Calculator'!K90*100,D1034*'Bulk Calculator'!AA90*'Bulk Calculator'!O90/'Bulk Calculator'!J90/'Bulk Calculator'!K90*100),"")</f>
        <v>0</v>
      </c>
      <c r="J1034">
        <f>IFERROR(IF(AND(ISNUMBER(E1034),ISNUMBER(F1034),E1034&gt;0,F1034&gt;0),SQRT(3)*'Bulk Calculator'!O90*'Bulk Calculator'!U90*((E1034*'Bulk Calculator'!M90)+(F1034*SQRT(1-'Bulk Calculator'!M90^2)))/'Bulk Calculator'!J90/'Bulk Calculator'!K90*100,D1034*'Bulk Calculator'!U90*'Bulk Calculator'!O90/'Bulk Calculator'!J90/'Bulk Calculator'!K90*100),"")</f>
        <v>0</v>
      </c>
      <c r="K1034">
        <f>IFERROR(G1034*B1034*'Bulk Calculator'!J90/SQRT('Bulk Calculator'!S90)/1000,"")</f>
        <v>127.90308831298798</v>
      </c>
      <c r="L1034">
        <f>IF(OR('Bulk Calculator'!R90="",'Bulk Calculator'!S90="",G1034=""),0,IF(K1034&gt;='Bulk Calculator'!R90,1,0))</f>
        <v>1</v>
      </c>
      <c r="M1034">
        <f>IF(AND(H1034=1,I1034&lt;='OS-DORAEN'!$B$6,J1034&lt;='OS-DORAEN'!$B$5,L1034=1),1,0)</f>
        <v>1</v>
      </c>
      <c r="N1034" t="str">
        <f t="shared" si="16"/>
        <v>R/X</v>
      </c>
    </row>
    <row r="1035" spans="1:14" ht="15" customHeight="1" x14ac:dyDescent="0.35">
      <c r="A1035">
        <v>90</v>
      </c>
      <c r="B1035">
        <v>300</v>
      </c>
      <c r="C1035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Master'!$F:$F,B1035),"")</f>
        <v>455</v>
      </c>
      <c r="D1035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Master'!$F:$F,B1035),"")</f>
        <v>0.13</v>
      </c>
      <c r="E1035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Master'!$F:$F,B1035),"")</f>
        <v>0.13</v>
      </c>
      <c r="F1035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Master'!$F:$F,B1035),"")</f>
        <v>7.0999999999999994E-2</v>
      </c>
      <c r="G1035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Master'!$F:$F,B1035),"")</f>
        <v>143</v>
      </c>
      <c r="H1035">
        <f>IF(AND(ISNUMBER(C1035),C1035&gt;='Bulk Calculator'!U90/('Bulk Calculator'!J90*'Bulk Calculator'!L90)),1,0)</f>
        <v>1</v>
      </c>
      <c r="I1035">
        <f>IFERROR(IF(AND(ISNUMBER(E1035),ISNUMBER(F1035),E1035&gt;0,F1035&gt;0),SQRT(3)*'Bulk Calculator'!O90*'Bulk Calculator'!AA90*((E1035*'Bulk Calculator'!Q90)+(F1035*SQRT(1-'Bulk Calculator'!Q90^2)))/'Bulk Calculator'!J90/'Bulk Calculator'!K90*100,D1035*'Bulk Calculator'!AA90*'Bulk Calculator'!O90/'Bulk Calculator'!J90/'Bulk Calculator'!K90*100),"")</f>
        <v>0</v>
      </c>
      <c r="J1035">
        <f>IFERROR(IF(AND(ISNUMBER(E1035),ISNUMBER(F1035),E1035&gt;0,F1035&gt;0),SQRT(3)*'Bulk Calculator'!O90*'Bulk Calculator'!U90*((E1035*'Bulk Calculator'!M90)+(F1035*SQRT(1-'Bulk Calculator'!M90^2)))/'Bulk Calculator'!J90/'Bulk Calculator'!K90*100,D1035*'Bulk Calculator'!U90*'Bulk Calculator'!O90/'Bulk Calculator'!J90/'Bulk Calculator'!K90*100),"")</f>
        <v>0</v>
      </c>
      <c r="K1035">
        <f>IFERROR(G1035*B1035*'Bulk Calculator'!J90/SQRT('Bulk Calculator'!S90)/1000,"")</f>
        <v>95.927316234740985</v>
      </c>
      <c r="L1035">
        <f>IF(OR('Bulk Calculator'!R90="",'Bulk Calculator'!S90="",G1035=""),0,IF(K1035&gt;='Bulk Calculator'!R90,1,0))</f>
        <v>1</v>
      </c>
      <c r="M1035">
        <f>IF(AND(H1035=1,I1035&lt;='OS-DORAEN'!$B$6,J1035&lt;='OS-DORAEN'!$B$5,L1035=1),1,0)</f>
        <v>1</v>
      </c>
      <c r="N1035" t="str">
        <f t="shared" si="16"/>
        <v>R/X</v>
      </c>
    </row>
    <row r="1036" spans="1:14" ht="15" customHeight="1" x14ac:dyDescent="0.35">
      <c r="A1036">
        <v>90</v>
      </c>
      <c r="B1036">
        <v>240</v>
      </c>
      <c r="C1036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Master'!$F:$F,B1036),"")</f>
        <v>399</v>
      </c>
      <c r="D1036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Master'!$F:$F,B1036),"")</f>
        <v>0.16200000000000001</v>
      </c>
      <c r="E1036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Master'!$F:$F,B1036),"")</f>
        <v>0.16200000000000001</v>
      </c>
      <c r="F1036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Master'!$F:$F,B1036),"")</f>
        <v>7.1999999999999995E-2</v>
      </c>
      <c r="G1036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Master'!$F:$F,B1036),"")</f>
        <v>143</v>
      </c>
      <c r="H1036">
        <f>IF(AND(ISNUMBER(C1036),C1036&gt;='Bulk Calculator'!U90/('Bulk Calculator'!J90*'Bulk Calculator'!L90)),1,0)</f>
        <v>1</v>
      </c>
      <c r="I1036">
        <f>IFERROR(IF(AND(ISNUMBER(E1036),ISNUMBER(F1036),E1036&gt;0,F1036&gt;0),SQRT(3)*'Bulk Calculator'!O90*'Bulk Calculator'!AA90*((E1036*'Bulk Calculator'!Q90)+(F1036*SQRT(1-'Bulk Calculator'!Q90^2)))/'Bulk Calculator'!J90/'Bulk Calculator'!K90*100,D1036*'Bulk Calculator'!AA90*'Bulk Calculator'!O90/'Bulk Calculator'!J90/'Bulk Calculator'!K90*100),"")</f>
        <v>0</v>
      </c>
      <c r="J1036">
        <f>IFERROR(IF(AND(ISNUMBER(E1036),ISNUMBER(F1036),E1036&gt;0,F1036&gt;0),SQRT(3)*'Bulk Calculator'!O90*'Bulk Calculator'!U90*((E1036*'Bulk Calculator'!M90)+(F1036*SQRT(1-'Bulk Calculator'!M90^2)))/'Bulk Calculator'!J90/'Bulk Calculator'!K90*100,D1036*'Bulk Calculator'!U90*'Bulk Calculator'!O90/'Bulk Calculator'!J90/'Bulk Calculator'!K90*100),"")</f>
        <v>0</v>
      </c>
      <c r="K1036">
        <f>IFERROR(G1036*B1036*'Bulk Calculator'!J90/SQRT('Bulk Calculator'!S90)/1000,"")</f>
        <v>76.741852987792782</v>
      </c>
      <c r="L1036">
        <f>IF(OR('Bulk Calculator'!R90="",'Bulk Calculator'!S90="",G1036=""),0,IF(K1036&gt;='Bulk Calculator'!R90,1,0))</f>
        <v>1</v>
      </c>
      <c r="M1036">
        <f>IF(AND(H1036=1,I1036&lt;='OS-DORAEN'!$B$6,J1036&lt;='OS-DORAEN'!$B$5,L1036=1),1,0)</f>
        <v>1</v>
      </c>
      <c r="N1036" t="str">
        <f t="shared" si="16"/>
        <v>R/X</v>
      </c>
    </row>
    <row r="1037" spans="1:14" ht="15" customHeight="1" x14ac:dyDescent="0.35">
      <c r="A1037">
        <v>90</v>
      </c>
      <c r="B1037">
        <v>185</v>
      </c>
      <c r="C1037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Master'!$F:$F,B1037),"")</f>
        <v>337</v>
      </c>
      <c r="D1037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Master'!$F:$F,B1037),"")</f>
        <v>0.21099999999999999</v>
      </c>
      <c r="E1037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Master'!$F:$F,B1037),"")</f>
        <v>0.21099999999999999</v>
      </c>
      <c r="F1037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Master'!$F:$F,B1037),"")</f>
        <v>7.1999999999999995E-2</v>
      </c>
      <c r="G1037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Master'!$F:$F,B1037),"")</f>
        <v>143</v>
      </c>
      <c r="H1037">
        <f>IF(AND(ISNUMBER(C1037),C1037&gt;='Bulk Calculator'!U90/('Bulk Calculator'!J90*'Bulk Calculator'!L90)),1,0)</f>
        <v>1</v>
      </c>
      <c r="I1037">
        <f>IFERROR(IF(AND(ISNUMBER(E1037),ISNUMBER(F1037),E1037&gt;0,F1037&gt;0),SQRT(3)*'Bulk Calculator'!O90*'Bulk Calculator'!AA90*((E1037*'Bulk Calculator'!Q90)+(F1037*SQRT(1-'Bulk Calculator'!Q90^2)))/'Bulk Calculator'!J90/'Bulk Calculator'!K90*100,D1037*'Bulk Calculator'!AA90*'Bulk Calculator'!O90/'Bulk Calculator'!J90/'Bulk Calculator'!K90*100),"")</f>
        <v>0</v>
      </c>
      <c r="J1037">
        <f>IFERROR(IF(AND(ISNUMBER(E1037),ISNUMBER(F1037),E1037&gt;0,F1037&gt;0),SQRT(3)*'Bulk Calculator'!O90*'Bulk Calculator'!U90*((E1037*'Bulk Calculator'!M90)+(F1037*SQRT(1-'Bulk Calculator'!M90^2)))/'Bulk Calculator'!J90/'Bulk Calculator'!K90*100,D1037*'Bulk Calculator'!U90*'Bulk Calculator'!O90/'Bulk Calculator'!J90/'Bulk Calculator'!K90*100),"")</f>
        <v>0</v>
      </c>
      <c r="K1037">
        <f>IFERROR(G1037*B1037*'Bulk Calculator'!J90/SQRT('Bulk Calculator'!S90)/1000,"")</f>
        <v>59.155178344756941</v>
      </c>
      <c r="L1037">
        <f>IF(OR('Bulk Calculator'!R90="",'Bulk Calculator'!S90="",G1037=""),0,IF(K1037&gt;='Bulk Calculator'!R90,1,0))</f>
        <v>1</v>
      </c>
      <c r="M1037">
        <f>IF(AND(H1037=1,I1037&lt;='OS-DORAEN'!$B$6,J1037&lt;='OS-DORAEN'!$B$5,L1037=1),1,0)</f>
        <v>1</v>
      </c>
      <c r="N1037" t="str">
        <f t="shared" si="16"/>
        <v>R/X</v>
      </c>
    </row>
    <row r="1038" spans="1:14" ht="15" customHeight="1" x14ac:dyDescent="0.35">
      <c r="A1038">
        <v>90</v>
      </c>
      <c r="B1038">
        <v>150</v>
      </c>
      <c r="C1038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Master'!$F:$F,B1038),"")</f>
        <v>292</v>
      </c>
      <c r="D1038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Master'!$F:$F,B1038),"")</f>
        <v>0.26500000000000001</v>
      </c>
      <c r="E1038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Master'!$F:$F,B1038),"")</f>
        <v>0.26500000000000001</v>
      </c>
      <c r="F1038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Master'!$F:$F,B1038),"")</f>
        <v>7.1999999999999995E-2</v>
      </c>
      <c r="G1038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Master'!$F:$F,B1038),"")</f>
        <v>143</v>
      </c>
      <c r="H1038">
        <f>IF(AND(ISNUMBER(C1038),C1038&gt;='Bulk Calculator'!U90/('Bulk Calculator'!J90*'Bulk Calculator'!L90)),1,0)</f>
        <v>1</v>
      </c>
      <c r="I1038">
        <f>IFERROR(IF(AND(ISNUMBER(E1038),ISNUMBER(F1038),E1038&gt;0,F1038&gt;0),SQRT(3)*'Bulk Calculator'!O90*'Bulk Calculator'!AA90*((E1038*'Bulk Calculator'!Q90)+(F1038*SQRT(1-'Bulk Calculator'!Q90^2)))/'Bulk Calculator'!J90/'Bulk Calculator'!K90*100,D1038*'Bulk Calculator'!AA90*'Bulk Calculator'!O90/'Bulk Calculator'!J90/'Bulk Calculator'!K90*100),"")</f>
        <v>0</v>
      </c>
      <c r="J1038">
        <f>IFERROR(IF(AND(ISNUMBER(E1038),ISNUMBER(F1038),E1038&gt;0,F1038&gt;0),SQRT(3)*'Bulk Calculator'!O90*'Bulk Calculator'!U90*((E1038*'Bulk Calculator'!M90)+(F1038*SQRT(1-'Bulk Calculator'!M90^2)))/'Bulk Calculator'!J90/'Bulk Calculator'!K90*100,D1038*'Bulk Calculator'!U90*'Bulk Calculator'!O90/'Bulk Calculator'!J90/'Bulk Calculator'!K90*100),"")</f>
        <v>0</v>
      </c>
      <c r="K1038">
        <f>IFERROR(G1038*B1038*'Bulk Calculator'!J90/SQRT('Bulk Calculator'!S90)/1000,"")</f>
        <v>47.963658117370493</v>
      </c>
      <c r="L1038">
        <f>IF(OR('Bulk Calculator'!R90="",'Bulk Calculator'!S90="",G1038=""),0,IF(K1038&gt;='Bulk Calculator'!R90,1,0))</f>
        <v>1</v>
      </c>
      <c r="M1038">
        <f>IF(AND(H1038=1,I1038&lt;='OS-DORAEN'!$B$6,J1038&lt;='OS-DORAEN'!$B$5,L1038=1),1,0)</f>
        <v>1</v>
      </c>
      <c r="N1038" t="str">
        <f t="shared" si="16"/>
        <v>R/X</v>
      </c>
    </row>
    <row r="1039" spans="1:14" ht="15" customHeight="1" x14ac:dyDescent="0.35">
      <c r="A1039">
        <v>90</v>
      </c>
      <c r="B1039">
        <v>120</v>
      </c>
      <c r="C1039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Master'!$F:$F,B1039),"")</f>
        <v>257</v>
      </c>
      <c r="D1039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Master'!$F:$F,B1039),"")</f>
        <v>0.32500000000000001</v>
      </c>
      <c r="E1039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Master'!$F:$F,B1039),"")</f>
        <v>0.32500000000000001</v>
      </c>
      <c r="F1039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Master'!$F:$F,B1039),"")</f>
        <v>7.1999999999999995E-2</v>
      </c>
      <c r="G1039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Master'!$F:$F,B1039),"")</f>
        <v>143</v>
      </c>
      <c r="H1039">
        <f>IF(AND(ISNUMBER(C1039),C1039&gt;='Bulk Calculator'!U90/('Bulk Calculator'!J90*'Bulk Calculator'!L90)),1,0)</f>
        <v>1</v>
      </c>
      <c r="I1039">
        <f>IFERROR(IF(AND(ISNUMBER(E1039),ISNUMBER(F1039),E1039&gt;0,F1039&gt;0),SQRT(3)*'Bulk Calculator'!O90*'Bulk Calculator'!AA90*((E1039*'Bulk Calculator'!Q90)+(F1039*SQRT(1-'Bulk Calculator'!Q90^2)))/'Bulk Calculator'!J90/'Bulk Calculator'!K90*100,D1039*'Bulk Calculator'!AA90*'Bulk Calculator'!O90/'Bulk Calculator'!J90/'Bulk Calculator'!K90*100),"")</f>
        <v>0</v>
      </c>
      <c r="J1039">
        <f>IFERROR(IF(AND(ISNUMBER(E1039),ISNUMBER(F1039),E1039&gt;0,F1039&gt;0),SQRT(3)*'Bulk Calculator'!O90*'Bulk Calculator'!U90*((E1039*'Bulk Calculator'!M90)+(F1039*SQRT(1-'Bulk Calculator'!M90^2)))/'Bulk Calculator'!J90/'Bulk Calculator'!K90*100,D1039*'Bulk Calculator'!U90*'Bulk Calculator'!O90/'Bulk Calculator'!J90/'Bulk Calculator'!K90*100),"")</f>
        <v>0</v>
      </c>
      <c r="K1039">
        <f>IFERROR(G1039*B1039*'Bulk Calculator'!J90/SQRT('Bulk Calculator'!S90)/1000,"")</f>
        <v>38.370926493896391</v>
      </c>
      <c r="L1039">
        <f>IF(OR('Bulk Calculator'!R90="",'Bulk Calculator'!S90="",G1039=""),0,IF(K1039&gt;='Bulk Calculator'!R90,1,0))</f>
        <v>1</v>
      </c>
      <c r="M1039">
        <f>IF(AND(H1039=1,I1039&lt;='OS-DORAEN'!$B$6,J1039&lt;='OS-DORAEN'!$B$5,L1039=1),1,0)</f>
        <v>1</v>
      </c>
      <c r="N1039" t="str">
        <f t="shared" si="16"/>
        <v>R/X</v>
      </c>
    </row>
    <row r="1040" spans="1:14" ht="15" customHeight="1" x14ac:dyDescent="0.35">
      <c r="A1040">
        <v>90</v>
      </c>
      <c r="B1040">
        <v>95</v>
      </c>
      <c r="C1040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Master'!$F:$F,B1040),"")</f>
        <v>221</v>
      </c>
      <c r="D1040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Master'!$F:$F,B1040),"")</f>
        <v>0.41</v>
      </c>
      <c r="E1040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Master'!$F:$F,B1040),"")</f>
        <v>0.41</v>
      </c>
      <c r="F1040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Master'!$F:$F,B1040),"")</f>
        <v>7.3999999999999996E-2</v>
      </c>
      <c r="G1040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Master'!$F:$F,B1040),"")</f>
        <v>143</v>
      </c>
      <c r="H1040">
        <f>IF(AND(ISNUMBER(C1040),C1040&gt;='Bulk Calculator'!U90/('Bulk Calculator'!J90*'Bulk Calculator'!L90)),1,0)</f>
        <v>1</v>
      </c>
      <c r="I1040">
        <f>IFERROR(IF(AND(ISNUMBER(E1040),ISNUMBER(F1040),E1040&gt;0,F1040&gt;0),SQRT(3)*'Bulk Calculator'!O90*'Bulk Calculator'!AA90*((E1040*'Bulk Calculator'!Q90)+(F1040*SQRT(1-'Bulk Calculator'!Q90^2)))/'Bulk Calculator'!J90/'Bulk Calculator'!K90*100,D1040*'Bulk Calculator'!AA90*'Bulk Calculator'!O90/'Bulk Calculator'!J90/'Bulk Calculator'!K90*100),"")</f>
        <v>0</v>
      </c>
      <c r="J1040">
        <f>IFERROR(IF(AND(ISNUMBER(E1040),ISNUMBER(F1040),E1040&gt;0,F1040&gt;0),SQRT(3)*'Bulk Calculator'!O90*'Bulk Calculator'!U90*((E1040*'Bulk Calculator'!M90)+(F1040*SQRT(1-'Bulk Calculator'!M90^2)))/'Bulk Calculator'!J90/'Bulk Calculator'!K90*100,D1040*'Bulk Calculator'!U90*'Bulk Calculator'!O90/'Bulk Calculator'!J90/'Bulk Calculator'!K90*100),"")</f>
        <v>0</v>
      </c>
      <c r="K1040">
        <f>IFERROR(G1040*B1040*'Bulk Calculator'!J90/SQRT('Bulk Calculator'!S90)/1000,"")</f>
        <v>30.376983474334644</v>
      </c>
      <c r="L1040">
        <f>IF(OR('Bulk Calculator'!R90="",'Bulk Calculator'!S90="",G1040=""),0,IF(K1040&gt;='Bulk Calculator'!R90,1,0))</f>
        <v>1</v>
      </c>
      <c r="M1040">
        <f>IF(AND(H1040=1,I1040&lt;='OS-DORAEN'!$B$6,J1040&lt;='OS-DORAEN'!$B$5,L1040=1),1,0)</f>
        <v>1</v>
      </c>
      <c r="N1040" t="str">
        <f t="shared" si="16"/>
        <v>R/X</v>
      </c>
    </row>
    <row r="1041" spans="1:14" ht="15" customHeight="1" x14ac:dyDescent="0.35">
      <c r="A1041">
        <v>90</v>
      </c>
      <c r="B1041">
        <v>70</v>
      </c>
      <c r="C1041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Master'!$F:$F,B1041),"")</f>
        <v>179</v>
      </c>
      <c r="D1041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Master'!$F:$F,B1041),"")</f>
        <v>0.56699999999999995</v>
      </c>
      <c r="E1041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Master'!$F:$F,B1041),"")</f>
        <v>0.56699999999999995</v>
      </c>
      <c r="F1041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Master'!$F:$F,B1041),"")</f>
        <v>7.6999999999999999E-2</v>
      </c>
      <c r="G1041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Master'!$F:$F,B1041),"")</f>
        <v>143</v>
      </c>
      <c r="H1041">
        <f>IF(AND(ISNUMBER(C1041),C1041&gt;='Bulk Calculator'!U90/('Bulk Calculator'!J90*'Bulk Calculator'!L90)),1,0)</f>
        <v>1</v>
      </c>
      <c r="I1041">
        <f>IFERROR(IF(AND(ISNUMBER(E1041),ISNUMBER(F1041),E1041&gt;0,F1041&gt;0),SQRT(3)*'Bulk Calculator'!O90*'Bulk Calculator'!AA90*((E1041*'Bulk Calculator'!Q90)+(F1041*SQRT(1-'Bulk Calculator'!Q90^2)))/'Bulk Calculator'!J90/'Bulk Calculator'!K90*100,D1041*'Bulk Calculator'!AA90*'Bulk Calculator'!O90/'Bulk Calculator'!J90/'Bulk Calculator'!K90*100),"")</f>
        <v>0</v>
      </c>
      <c r="J1041">
        <f>IFERROR(IF(AND(ISNUMBER(E1041),ISNUMBER(F1041),E1041&gt;0,F1041&gt;0),SQRT(3)*'Bulk Calculator'!O90*'Bulk Calculator'!U90*((E1041*'Bulk Calculator'!M90)+(F1041*SQRT(1-'Bulk Calculator'!M90^2)))/'Bulk Calculator'!J90/'Bulk Calculator'!K90*100,D1041*'Bulk Calculator'!U90*'Bulk Calculator'!O90/'Bulk Calculator'!J90/'Bulk Calculator'!K90*100),"")</f>
        <v>0</v>
      </c>
      <c r="K1041">
        <f>IFERROR(G1041*B1041*'Bulk Calculator'!J90/SQRT('Bulk Calculator'!S90)/1000,"")</f>
        <v>22.383040454772893</v>
      </c>
      <c r="L1041">
        <f>IF(OR('Bulk Calculator'!R90="",'Bulk Calculator'!S90="",G1041=""),0,IF(K1041&gt;='Bulk Calculator'!R90,1,0))</f>
        <v>1</v>
      </c>
      <c r="M1041">
        <f>IF(AND(H1041=1,I1041&lt;='OS-DORAEN'!$B$6,J1041&lt;='OS-DORAEN'!$B$5,L1041=1),1,0)</f>
        <v>1</v>
      </c>
      <c r="N1041" t="str">
        <f t="shared" si="16"/>
        <v>R/X</v>
      </c>
    </row>
    <row r="1042" spans="1:14" ht="15" customHeight="1" x14ac:dyDescent="0.35">
      <c r="A1042">
        <v>90</v>
      </c>
      <c r="B1042">
        <v>50</v>
      </c>
      <c r="C1042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Master'!$F:$F,B1042),"")</f>
        <v>142</v>
      </c>
      <c r="D1042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Master'!$F:$F,B1042),"")</f>
        <v>0.82</v>
      </c>
      <c r="E1042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Master'!$F:$F,B1042),"")</f>
        <v>0.82</v>
      </c>
      <c r="F1042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Master'!$F:$F,B1042),"")</f>
        <v>7.8E-2</v>
      </c>
      <c r="G1042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Master'!$F:$F,B1042),"")</f>
        <v>143</v>
      </c>
      <c r="H1042">
        <f>IF(AND(ISNUMBER(C1042),C1042&gt;='Bulk Calculator'!U90/('Bulk Calculator'!J90*'Bulk Calculator'!L90)),1,0)</f>
        <v>1</v>
      </c>
      <c r="I1042">
        <f>IFERROR(IF(AND(ISNUMBER(E1042),ISNUMBER(F1042),E1042&gt;0,F1042&gt;0),SQRT(3)*'Bulk Calculator'!O90*'Bulk Calculator'!AA90*((E1042*'Bulk Calculator'!Q90)+(F1042*SQRT(1-'Bulk Calculator'!Q90^2)))/'Bulk Calculator'!J90/'Bulk Calculator'!K90*100,D1042*'Bulk Calculator'!AA90*'Bulk Calculator'!O90/'Bulk Calculator'!J90/'Bulk Calculator'!K90*100),"")</f>
        <v>0</v>
      </c>
      <c r="J1042">
        <f>IFERROR(IF(AND(ISNUMBER(E1042),ISNUMBER(F1042),E1042&gt;0,F1042&gt;0),SQRT(3)*'Bulk Calculator'!O90*'Bulk Calculator'!U90*((E1042*'Bulk Calculator'!M90)+(F1042*SQRT(1-'Bulk Calculator'!M90^2)))/'Bulk Calculator'!J90/'Bulk Calculator'!K90*100,D1042*'Bulk Calculator'!U90*'Bulk Calculator'!O90/'Bulk Calculator'!J90/'Bulk Calculator'!K90*100),"")</f>
        <v>0</v>
      </c>
      <c r="K1042">
        <f>IFERROR(G1042*B1042*'Bulk Calculator'!J90/SQRT('Bulk Calculator'!S90)/1000,"")</f>
        <v>15.987886039123497</v>
      </c>
      <c r="L1042">
        <f>IF(OR('Bulk Calculator'!R90="",'Bulk Calculator'!S90="",G1042=""),0,IF(K1042&gt;='Bulk Calculator'!R90,1,0))</f>
        <v>1</v>
      </c>
      <c r="M1042">
        <f>IF(AND(H1042=1,I1042&lt;='OS-DORAEN'!$B$6,J1042&lt;='OS-DORAEN'!$B$5,L1042=1),1,0)</f>
        <v>1</v>
      </c>
      <c r="N1042" t="str">
        <f t="shared" si="16"/>
        <v>R/X</v>
      </c>
    </row>
    <row r="1043" spans="1:14" ht="15" customHeight="1" x14ac:dyDescent="0.35">
      <c r="A1043">
        <v>90</v>
      </c>
      <c r="B1043">
        <v>35</v>
      </c>
      <c r="C1043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Master'!$F:$F,B1043),"")</f>
        <v>117</v>
      </c>
      <c r="D1043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Master'!$F:$F,B1043),"")</f>
        <v>1.1100000000000001</v>
      </c>
      <c r="E1043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Master'!$F:$F,B1043),"")</f>
        <v>1.1100000000000001</v>
      </c>
      <c r="F1043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Master'!$F:$F,B1043),"")</f>
        <v>0.08</v>
      </c>
      <c r="G1043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Master'!$F:$F,B1043),"")</f>
        <v>143</v>
      </c>
      <c r="H1043">
        <f>IF(AND(ISNUMBER(C1043),C1043&gt;='Bulk Calculator'!U90/('Bulk Calculator'!J90*'Bulk Calculator'!L90)),1,0)</f>
        <v>1</v>
      </c>
      <c r="I1043">
        <f>IFERROR(IF(AND(ISNUMBER(E1043),ISNUMBER(F1043),E1043&gt;0,F1043&gt;0),SQRT(3)*'Bulk Calculator'!O90*'Bulk Calculator'!AA90*((E1043*'Bulk Calculator'!Q90)+(F1043*SQRT(1-'Bulk Calculator'!Q90^2)))/'Bulk Calculator'!J90/'Bulk Calculator'!K90*100,D1043*'Bulk Calculator'!AA90*'Bulk Calculator'!O90/'Bulk Calculator'!J90/'Bulk Calculator'!K90*100),"")</f>
        <v>0</v>
      </c>
      <c r="J1043">
        <f>IFERROR(IF(AND(ISNUMBER(E1043),ISNUMBER(F1043),E1043&gt;0,F1043&gt;0),SQRT(3)*'Bulk Calculator'!O90*'Bulk Calculator'!U90*((E1043*'Bulk Calculator'!M90)+(F1043*SQRT(1-'Bulk Calculator'!M90^2)))/'Bulk Calculator'!J90/'Bulk Calculator'!K90*100,D1043*'Bulk Calculator'!U90*'Bulk Calculator'!O90/'Bulk Calculator'!J90/'Bulk Calculator'!K90*100),"")</f>
        <v>0</v>
      </c>
      <c r="K1043">
        <f>IFERROR(G1043*B1043*'Bulk Calculator'!J90/SQRT('Bulk Calculator'!S90)/1000,"")</f>
        <v>11.191520227386446</v>
      </c>
      <c r="L1043">
        <f>IF(OR('Bulk Calculator'!R90="",'Bulk Calculator'!S90="",G1043=""),0,IF(K1043&gt;='Bulk Calculator'!R90,1,0))</f>
        <v>1</v>
      </c>
      <c r="M1043">
        <f>IF(AND(H1043=1,I1043&lt;='OS-DORAEN'!$B$6,J1043&lt;='OS-DORAEN'!$B$5,L1043=1),1,0)</f>
        <v>1</v>
      </c>
      <c r="N1043" t="str">
        <f t="shared" si="16"/>
        <v>R/X</v>
      </c>
    </row>
    <row r="1044" spans="1:14" ht="15" customHeight="1" x14ac:dyDescent="0.35">
      <c r="A1044">
        <v>90</v>
      </c>
      <c r="B1044">
        <v>25</v>
      </c>
      <c r="C1044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Master'!$F:$F,B1044),"")</f>
        <v>96</v>
      </c>
      <c r="D1044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Master'!$F:$F,B1044),"")</f>
        <v>1.54</v>
      </c>
      <c r="E1044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Master'!$F:$F,B1044),"")</f>
        <v>1.54</v>
      </c>
      <c r="F1044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Master'!$F:$F,B1044),"")</f>
        <v>0.08</v>
      </c>
      <c r="G1044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Master'!$F:$F,B1044),"")</f>
        <v>143</v>
      </c>
      <c r="H1044">
        <f>IF(AND(ISNUMBER(C1044),C1044&gt;='Bulk Calculator'!U90/('Bulk Calculator'!J90*'Bulk Calculator'!L90)),1,0)</f>
        <v>1</v>
      </c>
      <c r="I1044">
        <f>IFERROR(IF(AND(ISNUMBER(E1044),ISNUMBER(F1044),E1044&gt;0,F1044&gt;0),SQRT(3)*'Bulk Calculator'!O90*'Bulk Calculator'!AA90*((E1044*'Bulk Calculator'!Q90)+(F1044*SQRT(1-'Bulk Calculator'!Q90^2)))/'Bulk Calculator'!J90/'Bulk Calculator'!K90*100,D1044*'Bulk Calculator'!AA90*'Bulk Calculator'!O90/'Bulk Calculator'!J90/'Bulk Calculator'!K90*100),"")</f>
        <v>0</v>
      </c>
      <c r="J1044">
        <f>IFERROR(IF(AND(ISNUMBER(E1044),ISNUMBER(F1044),E1044&gt;0,F1044&gt;0),SQRT(3)*'Bulk Calculator'!O90*'Bulk Calculator'!U90*((E1044*'Bulk Calculator'!M90)+(F1044*SQRT(1-'Bulk Calculator'!M90^2)))/'Bulk Calculator'!J90/'Bulk Calculator'!K90*100,D1044*'Bulk Calculator'!U90*'Bulk Calculator'!O90/'Bulk Calculator'!J90/'Bulk Calculator'!K90*100),"")</f>
        <v>0</v>
      </c>
      <c r="K1044">
        <f>IFERROR(G1044*B1044*'Bulk Calculator'!J90/SQRT('Bulk Calculator'!S90)/1000,"")</f>
        <v>7.9939430195617485</v>
      </c>
      <c r="L1044">
        <f>IF(OR('Bulk Calculator'!R90="",'Bulk Calculator'!S90="",G1044=""),0,IF(K1044&gt;='Bulk Calculator'!R90,1,0))</f>
        <v>1</v>
      </c>
      <c r="M1044">
        <f>IF(AND(H1044=1,I1044&lt;='OS-DORAEN'!$B$6,J1044&lt;='OS-DORAEN'!$B$5,L1044=1),1,0)</f>
        <v>1</v>
      </c>
      <c r="N1044" t="str">
        <f t="shared" si="16"/>
        <v>R/X</v>
      </c>
    </row>
    <row r="1045" spans="1:14" ht="15" customHeight="1" x14ac:dyDescent="0.35">
      <c r="A1045">
        <v>90</v>
      </c>
      <c r="B1045">
        <v>16</v>
      </c>
      <c r="C1045">
        <f>IFERROR(SUMIFS('Cable Data Master'!$G:$G,'Cable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Master'!$F:$F,B1045),"")</f>
        <v>0</v>
      </c>
      <c r="D1045">
        <f>IFERROR(SUMIFS('Cable Data Master'!$K:$K,'Cable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Master'!$F:$F,B1045),"")</f>
        <v>0</v>
      </c>
      <c r="E1045">
        <f>IFERROR(SUMIFS('Cable Data Master'!$H:$H,'Cable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Master'!$F:$F,B1045),"")</f>
        <v>0</v>
      </c>
      <c r="F1045">
        <f>IFERROR(SUMIFS('Cable Data Master'!$I:$I,'Cable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Master'!$F:$F,B1045),"")</f>
        <v>0</v>
      </c>
      <c r="G1045">
        <f>IFERROR(SUMIFS('Cable Data Master'!$J:$J,'Cable Data Master'!$A:$A,'Bulk Calculator'!$BF90,'Cable Data Master'!$B:$B,'Bulk Calculator'!$BG90,'Cable Data Master'!$C:$C,'Bulk Calculator'!$BH90,'Cable Data Master'!$D:$D,'Bulk Calculator'!$BI90,'Cable Data Master'!$E:$E,'Bulk Calculator'!$BJ90,'Cable Data Master'!$F:$F,B1045),"")</f>
        <v>0</v>
      </c>
      <c r="H1045">
        <f>IF(AND(ISNUMBER(C1045),C1045&gt;='Bulk Calculator'!U90/('Bulk Calculator'!J90*'Bulk Calculator'!L90)),1,0)</f>
        <v>1</v>
      </c>
      <c r="I1045">
        <f>IFERROR(IF(AND(ISNUMBER(E1045),ISNUMBER(F1045),E1045&gt;0,F1045&gt;0),SQRT(3)*'Bulk Calculator'!O90*'Bulk Calculator'!AA90*((E1045*'Bulk Calculator'!Q90)+(F1045*SQRT(1-'Bulk Calculator'!Q90^2)))/'Bulk Calculator'!J90/'Bulk Calculator'!K90*100,D1045*'Bulk Calculator'!AA90*'Bulk Calculator'!O90/'Bulk Calculator'!J90/'Bulk Calculator'!K90*100),"")</f>
        <v>0</v>
      </c>
      <c r="J1045">
        <f>IFERROR(IF(AND(ISNUMBER(E1045),ISNUMBER(F1045),E1045&gt;0,F1045&gt;0),SQRT(3)*'Bulk Calculator'!O90*'Bulk Calculator'!U90*((E1045*'Bulk Calculator'!M90)+(F1045*SQRT(1-'Bulk Calculator'!M90^2)))/'Bulk Calculator'!J90/'Bulk Calculator'!K90*100,D1045*'Bulk Calculator'!U90*'Bulk Calculator'!O90/'Bulk Calculator'!J90/'Bulk Calculator'!K90*100),"")</f>
        <v>0</v>
      </c>
      <c r="K1045">
        <f>IFERROR(G1045*B1045*'Bulk Calculator'!J90/SQRT('Bulk Calculator'!S90)/1000,"")</f>
        <v>0</v>
      </c>
      <c r="L1045">
        <f>IF(OR('Bulk Calculator'!R90="",'Bulk Calculator'!S90="",G1045=""),0,IF(K1045&gt;='Bulk Calculator'!R90,1,0))</f>
        <v>1</v>
      </c>
      <c r="M1045">
        <f>IF(AND(H1045=1,I1045&lt;='OS-DORAEN'!$B$6,J1045&lt;='OS-DORAEN'!$B$5,L1045=1),1,0)</f>
        <v>1</v>
      </c>
      <c r="N1045" t="str">
        <f t="shared" si="16"/>
        <v>Manufacturer VD Ref</v>
      </c>
    </row>
    <row r="1046" spans="1:14" ht="15" customHeight="1" x14ac:dyDescent="0.35">
      <c r="A1046">
        <v>91</v>
      </c>
      <c r="B1046">
        <v>400</v>
      </c>
      <c r="C1046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Master'!$F:$F,B1046),"")</f>
        <v>530</v>
      </c>
      <c r="D1046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Master'!$F:$F,B1046),"")</f>
        <v>0.1023</v>
      </c>
      <c r="E1046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Master'!$F:$F,B1046),"")</f>
        <v>0.1023</v>
      </c>
      <c r="F1046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Master'!$F:$F,B1046),"")</f>
        <v>7.0000000000000007E-2</v>
      </c>
      <c r="G1046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Master'!$F:$F,B1046),"")</f>
        <v>143</v>
      </c>
      <c r="H1046">
        <f>IF(AND(ISNUMBER(C1046),C1046&gt;='Bulk Calculator'!U91/('Bulk Calculator'!J91*'Bulk Calculator'!L91)),1,0)</f>
        <v>1</v>
      </c>
      <c r="I1046">
        <f>IFERROR(IF(AND(ISNUMBER(E1046),ISNUMBER(F1046),E1046&gt;0,F1046&gt;0),SQRT(3)*'Bulk Calculator'!O91*'Bulk Calculator'!AA91*((E1046*'Bulk Calculator'!Q91)+(F1046*SQRT(1-'Bulk Calculator'!Q91^2)))/'Bulk Calculator'!J91/'Bulk Calculator'!K91*100,D1046*'Bulk Calculator'!AA91*'Bulk Calculator'!O91/'Bulk Calculator'!J91/'Bulk Calculator'!K91*100),"")</f>
        <v>0</v>
      </c>
      <c r="J1046">
        <f>IFERROR(IF(AND(ISNUMBER(E1046),ISNUMBER(F1046),E1046&gt;0,F1046&gt;0),SQRT(3)*'Bulk Calculator'!O91*'Bulk Calculator'!U91*((E1046*'Bulk Calculator'!M91)+(F1046*SQRT(1-'Bulk Calculator'!M91^2)))/'Bulk Calculator'!J91/'Bulk Calculator'!K91*100,D1046*'Bulk Calculator'!U91*'Bulk Calculator'!O91/'Bulk Calculator'!J91/'Bulk Calculator'!K91*100),"")</f>
        <v>0</v>
      </c>
      <c r="K1046">
        <f>IFERROR(G1046*B1046*'Bulk Calculator'!J91/SQRT('Bulk Calculator'!S91)/1000,"")</f>
        <v>127.90308831298798</v>
      </c>
      <c r="L1046">
        <f>IF(OR('Bulk Calculator'!R91="",'Bulk Calculator'!S91="",G1046=""),0,IF(K1046&gt;='Bulk Calculator'!R91,1,0))</f>
        <v>1</v>
      </c>
      <c r="M1046">
        <f>IF(AND(H1046=1,I1046&lt;='OS-DORAEN'!$B$6,J1046&lt;='OS-DORAEN'!$B$5,L1046=1),1,0)</f>
        <v>1</v>
      </c>
      <c r="N1046" t="str">
        <f t="shared" si="16"/>
        <v>R/X</v>
      </c>
    </row>
    <row r="1047" spans="1:14" ht="15" customHeight="1" x14ac:dyDescent="0.35">
      <c r="A1047">
        <v>91</v>
      </c>
      <c r="B1047">
        <v>300</v>
      </c>
      <c r="C1047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Master'!$F:$F,B1047),"")</f>
        <v>455</v>
      </c>
      <c r="D1047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Master'!$F:$F,B1047),"")</f>
        <v>0.13</v>
      </c>
      <c r="E1047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Master'!$F:$F,B1047),"")</f>
        <v>0.13</v>
      </c>
      <c r="F1047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Master'!$F:$F,B1047),"")</f>
        <v>7.0999999999999994E-2</v>
      </c>
      <c r="G1047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Master'!$F:$F,B1047),"")</f>
        <v>143</v>
      </c>
      <c r="H1047">
        <f>IF(AND(ISNUMBER(C1047),C1047&gt;='Bulk Calculator'!U91/('Bulk Calculator'!J91*'Bulk Calculator'!L91)),1,0)</f>
        <v>1</v>
      </c>
      <c r="I1047">
        <f>IFERROR(IF(AND(ISNUMBER(E1047),ISNUMBER(F1047),E1047&gt;0,F1047&gt;0),SQRT(3)*'Bulk Calculator'!O91*'Bulk Calculator'!AA91*((E1047*'Bulk Calculator'!Q91)+(F1047*SQRT(1-'Bulk Calculator'!Q91^2)))/'Bulk Calculator'!J91/'Bulk Calculator'!K91*100,D1047*'Bulk Calculator'!AA91*'Bulk Calculator'!O91/'Bulk Calculator'!J91/'Bulk Calculator'!K91*100),"")</f>
        <v>0</v>
      </c>
      <c r="J1047">
        <f>IFERROR(IF(AND(ISNUMBER(E1047),ISNUMBER(F1047),E1047&gt;0,F1047&gt;0),SQRT(3)*'Bulk Calculator'!O91*'Bulk Calculator'!U91*((E1047*'Bulk Calculator'!M91)+(F1047*SQRT(1-'Bulk Calculator'!M91^2)))/'Bulk Calculator'!J91/'Bulk Calculator'!K91*100,D1047*'Bulk Calculator'!U91*'Bulk Calculator'!O91/'Bulk Calculator'!J91/'Bulk Calculator'!K91*100),"")</f>
        <v>0</v>
      </c>
      <c r="K1047">
        <f>IFERROR(G1047*B1047*'Bulk Calculator'!J91/SQRT('Bulk Calculator'!S91)/1000,"")</f>
        <v>95.927316234740985</v>
      </c>
      <c r="L1047">
        <f>IF(OR('Bulk Calculator'!R91="",'Bulk Calculator'!S91="",G1047=""),0,IF(K1047&gt;='Bulk Calculator'!R91,1,0))</f>
        <v>1</v>
      </c>
      <c r="M1047">
        <f>IF(AND(H1047=1,I1047&lt;='OS-DORAEN'!$B$6,J1047&lt;='OS-DORAEN'!$B$5,L1047=1),1,0)</f>
        <v>1</v>
      </c>
      <c r="N1047" t="str">
        <f t="shared" si="16"/>
        <v>R/X</v>
      </c>
    </row>
    <row r="1048" spans="1:14" ht="15" customHeight="1" x14ac:dyDescent="0.35">
      <c r="A1048">
        <v>91</v>
      </c>
      <c r="B1048">
        <v>240</v>
      </c>
      <c r="C1048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Master'!$F:$F,B1048),"")</f>
        <v>399</v>
      </c>
      <c r="D1048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Master'!$F:$F,B1048),"")</f>
        <v>0.16200000000000001</v>
      </c>
      <c r="E1048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Master'!$F:$F,B1048),"")</f>
        <v>0.16200000000000001</v>
      </c>
      <c r="F1048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Master'!$F:$F,B1048),"")</f>
        <v>7.1999999999999995E-2</v>
      </c>
      <c r="G1048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Master'!$F:$F,B1048),"")</f>
        <v>143</v>
      </c>
      <c r="H1048">
        <f>IF(AND(ISNUMBER(C1048),C1048&gt;='Bulk Calculator'!U91/('Bulk Calculator'!J91*'Bulk Calculator'!L91)),1,0)</f>
        <v>1</v>
      </c>
      <c r="I1048">
        <f>IFERROR(IF(AND(ISNUMBER(E1048),ISNUMBER(F1048),E1048&gt;0,F1048&gt;0),SQRT(3)*'Bulk Calculator'!O91*'Bulk Calculator'!AA91*((E1048*'Bulk Calculator'!Q91)+(F1048*SQRT(1-'Bulk Calculator'!Q91^2)))/'Bulk Calculator'!J91/'Bulk Calculator'!K91*100,D1048*'Bulk Calculator'!AA91*'Bulk Calculator'!O91/'Bulk Calculator'!J91/'Bulk Calculator'!K91*100),"")</f>
        <v>0</v>
      </c>
      <c r="J1048">
        <f>IFERROR(IF(AND(ISNUMBER(E1048),ISNUMBER(F1048),E1048&gt;0,F1048&gt;0),SQRT(3)*'Bulk Calculator'!O91*'Bulk Calculator'!U91*((E1048*'Bulk Calculator'!M91)+(F1048*SQRT(1-'Bulk Calculator'!M91^2)))/'Bulk Calculator'!J91/'Bulk Calculator'!K91*100,D1048*'Bulk Calculator'!U91*'Bulk Calculator'!O91/'Bulk Calculator'!J91/'Bulk Calculator'!K91*100),"")</f>
        <v>0</v>
      </c>
      <c r="K1048">
        <f>IFERROR(G1048*B1048*'Bulk Calculator'!J91/SQRT('Bulk Calculator'!S91)/1000,"")</f>
        <v>76.741852987792782</v>
      </c>
      <c r="L1048">
        <f>IF(OR('Bulk Calculator'!R91="",'Bulk Calculator'!S91="",G1048=""),0,IF(K1048&gt;='Bulk Calculator'!R91,1,0))</f>
        <v>1</v>
      </c>
      <c r="M1048">
        <f>IF(AND(H1048=1,I1048&lt;='OS-DORAEN'!$B$6,J1048&lt;='OS-DORAEN'!$B$5,L1048=1),1,0)</f>
        <v>1</v>
      </c>
      <c r="N1048" t="str">
        <f t="shared" si="16"/>
        <v>R/X</v>
      </c>
    </row>
    <row r="1049" spans="1:14" ht="15" customHeight="1" x14ac:dyDescent="0.35">
      <c r="A1049">
        <v>91</v>
      </c>
      <c r="B1049">
        <v>185</v>
      </c>
      <c r="C1049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Master'!$F:$F,B1049),"")</f>
        <v>337</v>
      </c>
      <c r="D1049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Master'!$F:$F,B1049),"")</f>
        <v>0.21099999999999999</v>
      </c>
      <c r="E1049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Master'!$F:$F,B1049),"")</f>
        <v>0.21099999999999999</v>
      </c>
      <c r="F1049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Master'!$F:$F,B1049),"")</f>
        <v>7.1999999999999995E-2</v>
      </c>
      <c r="G1049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Master'!$F:$F,B1049),"")</f>
        <v>143</v>
      </c>
      <c r="H1049">
        <f>IF(AND(ISNUMBER(C1049),C1049&gt;='Bulk Calculator'!U91/('Bulk Calculator'!J91*'Bulk Calculator'!L91)),1,0)</f>
        <v>1</v>
      </c>
      <c r="I1049">
        <f>IFERROR(IF(AND(ISNUMBER(E1049),ISNUMBER(F1049),E1049&gt;0,F1049&gt;0),SQRT(3)*'Bulk Calculator'!O91*'Bulk Calculator'!AA91*((E1049*'Bulk Calculator'!Q91)+(F1049*SQRT(1-'Bulk Calculator'!Q91^2)))/'Bulk Calculator'!J91/'Bulk Calculator'!K91*100,D1049*'Bulk Calculator'!AA91*'Bulk Calculator'!O91/'Bulk Calculator'!J91/'Bulk Calculator'!K91*100),"")</f>
        <v>0</v>
      </c>
      <c r="J1049">
        <f>IFERROR(IF(AND(ISNUMBER(E1049),ISNUMBER(F1049),E1049&gt;0,F1049&gt;0),SQRT(3)*'Bulk Calculator'!O91*'Bulk Calculator'!U91*((E1049*'Bulk Calculator'!M91)+(F1049*SQRT(1-'Bulk Calculator'!M91^2)))/'Bulk Calculator'!J91/'Bulk Calculator'!K91*100,D1049*'Bulk Calculator'!U91*'Bulk Calculator'!O91/'Bulk Calculator'!J91/'Bulk Calculator'!K91*100),"")</f>
        <v>0</v>
      </c>
      <c r="K1049">
        <f>IFERROR(G1049*B1049*'Bulk Calculator'!J91/SQRT('Bulk Calculator'!S91)/1000,"")</f>
        <v>59.155178344756941</v>
      </c>
      <c r="L1049">
        <f>IF(OR('Bulk Calculator'!R91="",'Bulk Calculator'!S91="",G1049=""),0,IF(K1049&gt;='Bulk Calculator'!R91,1,0))</f>
        <v>1</v>
      </c>
      <c r="M1049">
        <f>IF(AND(H1049=1,I1049&lt;='OS-DORAEN'!$B$6,J1049&lt;='OS-DORAEN'!$B$5,L1049=1),1,0)</f>
        <v>1</v>
      </c>
      <c r="N1049" t="str">
        <f t="shared" si="16"/>
        <v>R/X</v>
      </c>
    </row>
    <row r="1050" spans="1:14" ht="15" customHeight="1" x14ac:dyDescent="0.35">
      <c r="A1050">
        <v>91</v>
      </c>
      <c r="B1050">
        <v>150</v>
      </c>
      <c r="C1050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Master'!$F:$F,B1050),"")</f>
        <v>292</v>
      </c>
      <c r="D1050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Master'!$F:$F,B1050),"")</f>
        <v>0.26500000000000001</v>
      </c>
      <c r="E1050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Master'!$F:$F,B1050),"")</f>
        <v>0.26500000000000001</v>
      </c>
      <c r="F1050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Master'!$F:$F,B1050),"")</f>
        <v>7.1999999999999995E-2</v>
      </c>
      <c r="G1050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Master'!$F:$F,B1050),"")</f>
        <v>143</v>
      </c>
      <c r="H1050">
        <f>IF(AND(ISNUMBER(C1050),C1050&gt;='Bulk Calculator'!U91/('Bulk Calculator'!J91*'Bulk Calculator'!L91)),1,0)</f>
        <v>1</v>
      </c>
      <c r="I1050">
        <f>IFERROR(IF(AND(ISNUMBER(E1050),ISNUMBER(F1050),E1050&gt;0,F1050&gt;0),SQRT(3)*'Bulk Calculator'!O91*'Bulk Calculator'!AA91*((E1050*'Bulk Calculator'!Q91)+(F1050*SQRT(1-'Bulk Calculator'!Q91^2)))/'Bulk Calculator'!J91/'Bulk Calculator'!K91*100,D1050*'Bulk Calculator'!AA91*'Bulk Calculator'!O91/'Bulk Calculator'!J91/'Bulk Calculator'!K91*100),"")</f>
        <v>0</v>
      </c>
      <c r="J1050">
        <f>IFERROR(IF(AND(ISNUMBER(E1050),ISNUMBER(F1050),E1050&gt;0,F1050&gt;0),SQRT(3)*'Bulk Calculator'!O91*'Bulk Calculator'!U91*((E1050*'Bulk Calculator'!M91)+(F1050*SQRT(1-'Bulk Calculator'!M91^2)))/'Bulk Calculator'!J91/'Bulk Calculator'!K91*100,D1050*'Bulk Calculator'!U91*'Bulk Calculator'!O91/'Bulk Calculator'!J91/'Bulk Calculator'!K91*100),"")</f>
        <v>0</v>
      </c>
      <c r="K1050">
        <f>IFERROR(G1050*B1050*'Bulk Calculator'!J91/SQRT('Bulk Calculator'!S91)/1000,"")</f>
        <v>47.963658117370493</v>
      </c>
      <c r="L1050">
        <f>IF(OR('Bulk Calculator'!R91="",'Bulk Calculator'!S91="",G1050=""),0,IF(K1050&gt;='Bulk Calculator'!R91,1,0))</f>
        <v>1</v>
      </c>
      <c r="M1050">
        <f>IF(AND(H1050=1,I1050&lt;='OS-DORAEN'!$B$6,J1050&lt;='OS-DORAEN'!$B$5,L1050=1),1,0)</f>
        <v>1</v>
      </c>
      <c r="N1050" t="str">
        <f t="shared" si="16"/>
        <v>R/X</v>
      </c>
    </row>
    <row r="1051" spans="1:14" ht="15" customHeight="1" x14ac:dyDescent="0.35">
      <c r="A1051">
        <v>91</v>
      </c>
      <c r="B1051">
        <v>120</v>
      </c>
      <c r="C1051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Master'!$F:$F,B1051),"")</f>
        <v>257</v>
      </c>
      <c r="D1051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Master'!$F:$F,B1051),"")</f>
        <v>0.32500000000000001</v>
      </c>
      <c r="E1051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Master'!$F:$F,B1051),"")</f>
        <v>0.32500000000000001</v>
      </c>
      <c r="F1051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Master'!$F:$F,B1051),"")</f>
        <v>7.1999999999999995E-2</v>
      </c>
      <c r="G1051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Master'!$F:$F,B1051),"")</f>
        <v>143</v>
      </c>
      <c r="H1051">
        <f>IF(AND(ISNUMBER(C1051),C1051&gt;='Bulk Calculator'!U91/('Bulk Calculator'!J91*'Bulk Calculator'!L91)),1,0)</f>
        <v>1</v>
      </c>
      <c r="I1051">
        <f>IFERROR(IF(AND(ISNUMBER(E1051),ISNUMBER(F1051),E1051&gt;0,F1051&gt;0),SQRT(3)*'Bulk Calculator'!O91*'Bulk Calculator'!AA91*((E1051*'Bulk Calculator'!Q91)+(F1051*SQRT(1-'Bulk Calculator'!Q91^2)))/'Bulk Calculator'!J91/'Bulk Calculator'!K91*100,D1051*'Bulk Calculator'!AA91*'Bulk Calculator'!O91/'Bulk Calculator'!J91/'Bulk Calculator'!K91*100),"")</f>
        <v>0</v>
      </c>
      <c r="J1051">
        <f>IFERROR(IF(AND(ISNUMBER(E1051),ISNUMBER(F1051),E1051&gt;0,F1051&gt;0),SQRT(3)*'Bulk Calculator'!O91*'Bulk Calculator'!U91*((E1051*'Bulk Calculator'!M91)+(F1051*SQRT(1-'Bulk Calculator'!M91^2)))/'Bulk Calculator'!J91/'Bulk Calculator'!K91*100,D1051*'Bulk Calculator'!U91*'Bulk Calculator'!O91/'Bulk Calculator'!J91/'Bulk Calculator'!K91*100),"")</f>
        <v>0</v>
      </c>
      <c r="K1051">
        <f>IFERROR(G1051*B1051*'Bulk Calculator'!J91/SQRT('Bulk Calculator'!S91)/1000,"")</f>
        <v>38.370926493896391</v>
      </c>
      <c r="L1051">
        <f>IF(OR('Bulk Calculator'!R91="",'Bulk Calculator'!S91="",G1051=""),0,IF(K1051&gt;='Bulk Calculator'!R91,1,0))</f>
        <v>1</v>
      </c>
      <c r="M1051">
        <f>IF(AND(H1051=1,I1051&lt;='OS-DORAEN'!$B$6,J1051&lt;='OS-DORAEN'!$B$5,L1051=1),1,0)</f>
        <v>1</v>
      </c>
      <c r="N1051" t="str">
        <f t="shared" si="16"/>
        <v>R/X</v>
      </c>
    </row>
    <row r="1052" spans="1:14" ht="15" customHeight="1" x14ac:dyDescent="0.35">
      <c r="A1052">
        <v>91</v>
      </c>
      <c r="B1052">
        <v>95</v>
      </c>
      <c r="C1052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Master'!$F:$F,B1052),"")</f>
        <v>221</v>
      </c>
      <c r="D1052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Master'!$F:$F,B1052),"")</f>
        <v>0.41</v>
      </c>
      <c r="E1052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Master'!$F:$F,B1052),"")</f>
        <v>0.41</v>
      </c>
      <c r="F1052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Master'!$F:$F,B1052),"")</f>
        <v>7.3999999999999996E-2</v>
      </c>
      <c r="G1052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Master'!$F:$F,B1052),"")</f>
        <v>143</v>
      </c>
      <c r="H1052">
        <f>IF(AND(ISNUMBER(C1052),C1052&gt;='Bulk Calculator'!U91/('Bulk Calculator'!J91*'Bulk Calculator'!L91)),1,0)</f>
        <v>1</v>
      </c>
      <c r="I1052">
        <f>IFERROR(IF(AND(ISNUMBER(E1052),ISNUMBER(F1052),E1052&gt;0,F1052&gt;0),SQRT(3)*'Bulk Calculator'!O91*'Bulk Calculator'!AA91*((E1052*'Bulk Calculator'!Q91)+(F1052*SQRT(1-'Bulk Calculator'!Q91^2)))/'Bulk Calculator'!J91/'Bulk Calculator'!K91*100,D1052*'Bulk Calculator'!AA91*'Bulk Calculator'!O91/'Bulk Calculator'!J91/'Bulk Calculator'!K91*100),"")</f>
        <v>0</v>
      </c>
      <c r="J1052">
        <f>IFERROR(IF(AND(ISNUMBER(E1052),ISNUMBER(F1052),E1052&gt;0,F1052&gt;0),SQRT(3)*'Bulk Calculator'!O91*'Bulk Calculator'!U91*((E1052*'Bulk Calculator'!M91)+(F1052*SQRT(1-'Bulk Calculator'!M91^2)))/'Bulk Calculator'!J91/'Bulk Calculator'!K91*100,D1052*'Bulk Calculator'!U91*'Bulk Calculator'!O91/'Bulk Calculator'!J91/'Bulk Calculator'!K91*100),"")</f>
        <v>0</v>
      </c>
      <c r="K1052">
        <f>IFERROR(G1052*B1052*'Bulk Calculator'!J91/SQRT('Bulk Calculator'!S91)/1000,"")</f>
        <v>30.376983474334644</v>
      </c>
      <c r="L1052">
        <f>IF(OR('Bulk Calculator'!R91="",'Bulk Calculator'!S91="",G1052=""),0,IF(K1052&gt;='Bulk Calculator'!R91,1,0))</f>
        <v>1</v>
      </c>
      <c r="M1052">
        <f>IF(AND(H1052=1,I1052&lt;='OS-DORAEN'!$B$6,J1052&lt;='OS-DORAEN'!$B$5,L1052=1),1,0)</f>
        <v>1</v>
      </c>
      <c r="N1052" t="str">
        <f t="shared" si="16"/>
        <v>R/X</v>
      </c>
    </row>
    <row r="1053" spans="1:14" ht="15" customHeight="1" x14ac:dyDescent="0.35">
      <c r="A1053">
        <v>91</v>
      </c>
      <c r="B1053">
        <v>70</v>
      </c>
      <c r="C1053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Master'!$F:$F,B1053),"")</f>
        <v>179</v>
      </c>
      <c r="D1053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Master'!$F:$F,B1053),"")</f>
        <v>0.56699999999999995</v>
      </c>
      <c r="E1053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Master'!$F:$F,B1053),"")</f>
        <v>0.56699999999999995</v>
      </c>
      <c r="F1053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Master'!$F:$F,B1053),"")</f>
        <v>7.6999999999999999E-2</v>
      </c>
      <c r="G1053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Master'!$F:$F,B1053),"")</f>
        <v>143</v>
      </c>
      <c r="H1053">
        <f>IF(AND(ISNUMBER(C1053),C1053&gt;='Bulk Calculator'!U91/('Bulk Calculator'!J91*'Bulk Calculator'!L91)),1,0)</f>
        <v>1</v>
      </c>
      <c r="I1053">
        <f>IFERROR(IF(AND(ISNUMBER(E1053),ISNUMBER(F1053),E1053&gt;0,F1053&gt;0),SQRT(3)*'Bulk Calculator'!O91*'Bulk Calculator'!AA91*((E1053*'Bulk Calculator'!Q91)+(F1053*SQRT(1-'Bulk Calculator'!Q91^2)))/'Bulk Calculator'!J91/'Bulk Calculator'!K91*100,D1053*'Bulk Calculator'!AA91*'Bulk Calculator'!O91/'Bulk Calculator'!J91/'Bulk Calculator'!K91*100),"")</f>
        <v>0</v>
      </c>
      <c r="J1053">
        <f>IFERROR(IF(AND(ISNUMBER(E1053),ISNUMBER(F1053),E1053&gt;0,F1053&gt;0),SQRT(3)*'Bulk Calculator'!O91*'Bulk Calculator'!U91*((E1053*'Bulk Calculator'!M91)+(F1053*SQRT(1-'Bulk Calculator'!M91^2)))/'Bulk Calculator'!J91/'Bulk Calculator'!K91*100,D1053*'Bulk Calculator'!U91*'Bulk Calculator'!O91/'Bulk Calculator'!J91/'Bulk Calculator'!K91*100),"")</f>
        <v>0</v>
      </c>
      <c r="K1053">
        <f>IFERROR(G1053*B1053*'Bulk Calculator'!J91/SQRT('Bulk Calculator'!S91)/1000,"")</f>
        <v>22.383040454772893</v>
      </c>
      <c r="L1053">
        <f>IF(OR('Bulk Calculator'!R91="",'Bulk Calculator'!S91="",G1053=""),0,IF(K1053&gt;='Bulk Calculator'!R91,1,0))</f>
        <v>1</v>
      </c>
      <c r="M1053">
        <f>IF(AND(H1053=1,I1053&lt;='OS-DORAEN'!$B$6,J1053&lt;='OS-DORAEN'!$B$5,L1053=1),1,0)</f>
        <v>1</v>
      </c>
      <c r="N1053" t="str">
        <f t="shared" si="16"/>
        <v>R/X</v>
      </c>
    </row>
    <row r="1054" spans="1:14" ht="15" customHeight="1" x14ac:dyDescent="0.35">
      <c r="A1054">
        <v>91</v>
      </c>
      <c r="B1054">
        <v>50</v>
      </c>
      <c r="C1054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Master'!$F:$F,B1054),"")</f>
        <v>142</v>
      </c>
      <c r="D1054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Master'!$F:$F,B1054),"")</f>
        <v>0.82</v>
      </c>
      <c r="E1054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Master'!$F:$F,B1054),"")</f>
        <v>0.82</v>
      </c>
      <c r="F1054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Master'!$F:$F,B1054),"")</f>
        <v>7.8E-2</v>
      </c>
      <c r="G1054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Master'!$F:$F,B1054),"")</f>
        <v>143</v>
      </c>
      <c r="H1054">
        <f>IF(AND(ISNUMBER(C1054),C1054&gt;='Bulk Calculator'!U91/('Bulk Calculator'!J91*'Bulk Calculator'!L91)),1,0)</f>
        <v>1</v>
      </c>
      <c r="I1054">
        <f>IFERROR(IF(AND(ISNUMBER(E1054),ISNUMBER(F1054),E1054&gt;0,F1054&gt;0),SQRT(3)*'Bulk Calculator'!O91*'Bulk Calculator'!AA91*((E1054*'Bulk Calculator'!Q91)+(F1054*SQRT(1-'Bulk Calculator'!Q91^2)))/'Bulk Calculator'!J91/'Bulk Calculator'!K91*100,D1054*'Bulk Calculator'!AA91*'Bulk Calculator'!O91/'Bulk Calculator'!J91/'Bulk Calculator'!K91*100),"")</f>
        <v>0</v>
      </c>
      <c r="J1054">
        <f>IFERROR(IF(AND(ISNUMBER(E1054),ISNUMBER(F1054),E1054&gt;0,F1054&gt;0),SQRT(3)*'Bulk Calculator'!O91*'Bulk Calculator'!U91*((E1054*'Bulk Calculator'!M91)+(F1054*SQRT(1-'Bulk Calculator'!M91^2)))/'Bulk Calculator'!J91/'Bulk Calculator'!K91*100,D1054*'Bulk Calculator'!U91*'Bulk Calculator'!O91/'Bulk Calculator'!J91/'Bulk Calculator'!K91*100),"")</f>
        <v>0</v>
      </c>
      <c r="K1054">
        <f>IFERROR(G1054*B1054*'Bulk Calculator'!J91/SQRT('Bulk Calculator'!S91)/1000,"")</f>
        <v>15.987886039123497</v>
      </c>
      <c r="L1054">
        <f>IF(OR('Bulk Calculator'!R91="",'Bulk Calculator'!S91="",G1054=""),0,IF(K1054&gt;='Bulk Calculator'!R91,1,0))</f>
        <v>1</v>
      </c>
      <c r="M1054">
        <f>IF(AND(H1054=1,I1054&lt;='OS-DORAEN'!$B$6,J1054&lt;='OS-DORAEN'!$B$5,L1054=1),1,0)</f>
        <v>1</v>
      </c>
      <c r="N1054" t="str">
        <f t="shared" si="16"/>
        <v>R/X</v>
      </c>
    </row>
    <row r="1055" spans="1:14" ht="15" customHeight="1" x14ac:dyDescent="0.35">
      <c r="A1055">
        <v>91</v>
      </c>
      <c r="B1055">
        <v>35</v>
      </c>
      <c r="C1055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Master'!$F:$F,B1055),"")</f>
        <v>117</v>
      </c>
      <c r="D1055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Master'!$F:$F,B1055),"")</f>
        <v>1.1100000000000001</v>
      </c>
      <c r="E1055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Master'!$F:$F,B1055),"")</f>
        <v>1.1100000000000001</v>
      </c>
      <c r="F1055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Master'!$F:$F,B1055),"")</f>
        <v>0.08</v>
      </c>
      <c r="G1055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Master'!$F:$F,B1055),"")</f>
        <v>143</v>
      </c>
      <c r="H1055">
        <f>IF(AND(ISNUMBER(C1055),C1055&gt;='Bulk Calculator'!U91/('Bulk Calculator'!J91*'Bulk Calculator'!L91)),1,0)</f>
        <v>1</v>
      </c>
      <c r="I1055">
        <f>IFERROR(IF(AND(ISNUMBER(E1055),ISNUMBER(F1055),E1055&gt;0,F1055&gt;0),SQRT(3)*'Bulk Calculator'!O91*'Bulk Calculator'!AA91*((E1055*'Bulk Calculator'!Q91)+(F1055*SQRT(1-'Bulk Calculator'!Q91^2)))/'Bulk Calculator'!J91/'Bulk Calculator'!K91*100,D1055*'Bulk Calculator'!AA91*'Bulk Calculator'!O91/'Bulk Calculator'!J91/'Bulk Calculator'!K91*100),"")</f>
        <v>0</v>
      </c>
      <c r="J1055">
        <f>IFERROR(IF(AND(ISNUMBER(E1055),ISNUMBER(F1055),E1055&gt;0,F1055&gt;0),SQRT(3)*'Bulk Calculator'!O91*'Bulk Calculator'!U91*((E1055*'Bulk Calculator'!M91)+(F1055*SQRT(1-'Bulk Calculator'!M91^2)))/'Bulk Calculator'!J91/'Bulk Calculator'!K91*100,D1055*'Bulk Calculator'!U91*'Bulk Calculator'!O91/'Bulk Calculator'!J91/'Bulk Calculator'!K91*100),"")</f>
        <v>0</v>
      </c>
      <c r="K1055">
        <f>IFERROR(G1055*B1055*'Bulk Calculator'!J91/SQRT('Bulk Calculator'!S91)/1000,"")</f>
        <v>11.191520227386446</v>
      </c>
      <c r="L1055">
        <f>IF(OR('Bulk Calculator'!R91="",'Bulk Calculator'!S91="",G1055=""),0,IF(K1055&gt;='Bulk Calculator'!R91,1,0))</f>
        <v>1</v>
      </c>
      <c r="M1055">
        <f>IF(AND(H1055=1,I1055&lt;='OS-DORAEN'!$B$6,J1055&lt;='OS-DORAEN'!$B$5,L1055=1),1,0)</f>
        <v>1</v>
      </c>
      <c r="N1055" t="str">
        <f t="shared" si="16"/>
        <v>R/X</v>
      </c>
    </row>
    <row r="1056" spans="1:14" ht="15" customHeight="1" x14ac:dyDescent="0.35">
      <c r="A1056">
        <v>91</v>
      </c>
      <c r="B1056">
        <v>25</v>
      </c>
      <c r="C1056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Master'!$F:$F,B1056),"")</f>
        <v>96</v>
      </c>
      <c r="D1056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Master'!$F:$F,B1056),"")</f>
        <v>1.54</v>
      </c>
      <c r="E1056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Master'!$F:$F,B1056),"")</f>
        <v>1.54</v>
      </c>
      <c r="F1056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Master'!$F:$F,B1056),"")</f>
        <v>0.08</v>
      </c>
      <c r="G1056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Master'!$F:$F,B1056),"")</f>
        <v>143</v>
      </c>
      <c r="H1056">
        <f>IF(AND(ISNUMBER(C1056),C1056&gt;='Bulk Calculator'!U91/('Bulk Calculator'!J91*'Bulk Calculator'!L91)),1,0)</f>
        <v>1</v>
      </c>
      <c r="I1056">
        <f>IFERROR(IF(AND(ISNUMBER(E1056),ISNUMBER(F1056),E1056&gt;0,F1056&gt;0),SQRT(3)*'Bulk Calculator'!O91*'Bulk Calculator'!AA91*((E1056*'Bulk Calculator'!Q91)+(F1056*SQRT(1-'Bulk Calculator'!Q91^2)))/'Bulk Calculator'!J91/'Bulk Calculator'!K91*100,D1056*'Bulk Calculator'!AA91*'Bulk Calculator'!O91/'Bulk Calculator'!J91/'Bulk Calculator'!K91*100),"")</f>
        <v>0</v>
      </c>
      <c r="J1056">
        <f>IFERROR(IF(AND(ISNUMBER(E1056),ISNUMBER(F1056),E1056&gt;0,F1056&gt;0),SQRT(3)*'Bulk Calculator'!O91*'Bulk Calculator'!U91*((E1056*'Bulk Calculator'!M91)+(F1056*SQRT(1-'Bulk Calculator'!M91^2)))/'Bulk Calculator'!J91/'Bulk Calculator'!K91*100,D1056*'Bulk Calculator'!U91*'Bulk Calculator'!O91/'Bulk Calculator'!J91/'Bulk Calculator'!K91*100),"")</f>
        <v>0</v>
      </c>
      <c r="K1056">
        <f>IFERROR(G1056*B1056*'Bulk Calculator'!J91/SQRT('Bulk Calculator'!S91)/1000,"")</f>
        <v>7.9939430195617485</v>
      </c>
      <c r="L1056">
        <f>IF(OR('Bulk Calculator'!R91="",'Bulk Calculator'!S91="",G1056=""),0,IF(K1056&gt;='Bulk Calculator'!R91,1,0))</f>
        <v>1</v>
      </c>
      <c r="M1056">
        <f>IF(AND(H1056=1,I1056&lt;='OS-DORAEN'!$B$6,J1056&lt;='OS-DORAEN'!$B$5,L1056=1),1,0)</f>
        <v>1</v>
      </c>
      <c r="N1056" t="str">
        <f t="shared" si="16"/>
        <v>R/X</v>
      </c>
    </row>
    <row r="1057" spans="1:14" ht="15" customHeight="1" x14ac:dyDescent="0.35">
      <c r="A1057">
        <v>91</v>
      </c>
      <c r="B1057">
        <v>16</v>
      </c>
      <c r="C1057">
        <f>IFERROR(SUMIFS('Cable Data Master'!$G:$G,'Cable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Master'!$F:$F,B1057),"")</f>
        <v>0</v>
      </c>
      <c r="D1057">
        <f>IFERROR(SUMIFS('Cable Data Master'!$K:$K,'Cable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Master'!$F:$F,B1057),"")</f>
        <v>0</v>
      </c>
      <c r="E1057">
        <f>IFERROR(SUMIFS('Cable Data Master'!$H:$H,'Cable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Master'!$F:$F,B1057),"")</f>
        <v>0</v>
      </c>
      <c r="F1057">
        <f>IFERROR(SUMIFS('Cable Data Master'!$I:$I,'Cable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Master'!$F:$F,B1057),"")</f>
        <v>0</v>
      </c>
      <c r="G1057">
        <f>IFERROR(SUMIFS('Cable Data Master'!$J:$J,'Cable Data Master'!$A:$A,'Bulk Calculator'!$BF91,'Cable Data Master'!$B:$B,'Bulk Calculator'!$BG91,'Cable Data Master'!$C:$C,'Bulk Calculator'!$BH91,'Cable Data Master'!$D:$D,'Bulk Calculator'!$BI91,'Cable Data Master'!$E:$E,'Bulk Calculator'!$BJ91,'Cable Data Master'!$F:$F,B1057),"")</f>
        <v>0</v>
      </c>
      <c r="H1057">
        <f>IF(AND(ISNUMBER(C1057),C1057&gt;='Bulk Calculator'!U91/('Bulk Calculator'!J91*'Bulk Calculator'!L91)),1,0)</f>
        <v>1</v>
      </c>
      <c r="I1057">
        <f>IFERROR(IF(AND(ISNUMBER(E1057),ISNUMBER(F1057),E1057&gt;0,F1057&gt;0),SQRT(3)*'Bulk Calculator'!O91*'Bulk Calculator'!AA91*((E1057*'Bulk Calculator'!Q91)+(F1057*SQRT(1-'Bulk Calculator'!Q91^2)))/'Bulk Calculator'!J91/'Bulk Calculator'!K91*100,D1057*'Bulk Calculator'!AA91*'Bulk Calculator'!O91/'Bulk Calculator'!J91/'Bulk Calculator'!K91*100),"")</f>
        <v>0</v>
      </c>
      <c r="J1057">
        <f>IFERROR(IF(AND(ISNUMBER(E1057),ISNUMBER(F1057),E1057&gt;0,F1057&gt;0),SQRT(3)*'Bulk Calculator'!O91*'Bulk Calculator'!U91*((E1057*'Bulk Calculator'!M91)+(F1057*SQRT(1-'Bulk Calculator'!M91^2)))/'Bulk Calculator'!J91/'Bulk Calculator'!K91*100,D1057*'Bulk Calculator'!U91*'Bulk Calculator'!O91/'Bulk Calculator'!J91/'Bulk Calculator'!K91*100),"")</f>
        <v>0</v>
      </c>
      <c r="K1057">
        <f>IFERROR(G1057*B1057*'Bulk Calculator'!J91/SQRT('Bulk Calculator'!S91)/1000,"")</f>
        <v>0</v>
      </c>
      <c r="L1057">
        <f>IF(OR('Bulk Calculator'!R91="",'Bulk Calculator'!S91="",G1057=""),0,IF(K1057&gt;='Bulk Calculator'!R91,1,0))</f>
        <v>1</v>
      </c>
      <c r="M1057">
        <f>IF(AND(H1057=1,I1057&lt;='OS-DORAEN'!$B$6,J1057&lt;='OS-DORAEN'!$B$5,L1057=1),1,0)</f>
        <v>1</v>
      </c>
      <c r="N1057" t="str">
        <f t="shared" si="16"/>
        <v>Manufacturer VD Ref</v>
      </c>
    </row>
    <row r="1058" spans="1:14" ht="15" customHeight="1" x14ac:dyDescent="0.35">
      <c r="A1058">
        <v>92</v>
      </c>
      <c r="B1058">
        <v>400</v>
      </c>
      <c r="C1058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Master'!$F:$F,B1058),"")</f>
        <v>530</v>
      </c>
      <c r="D1058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Master'!$F:$F,B1058),"")</f>
        <v>0.1023</v>
      </c>
      <c r="E1058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Master'!$F:$F,B1058),"")</f>
        <v>0.1023</v>
      </c>
      <c r="F1058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Master'!$F:$F,B1058),"")</f>
        <v>7.0000000000000007E-2</v>
      </c>
      <c r="G1058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Master'!$F:$F,B1058),"")</f>
        <v>143</v>
      </c>
      <c r="H1058">
        <f>IF(AND(ISNUMBER(C1058),C1058&gt;='Bulk Calculator'!U92/('Bulk Calculator'!J92*'Bulk Calculator'!L92)),1,0)</f>
        <v>1</v>
      </c>
      <c r="I1058">
        <f>IFERROR(IF(AND(ISNUMBER(E1058),ISNUMBER(F1058),E1058&gt;0,F1058&gt;0),SQRT(3)*'Bulk Calculator'!O92*'Bulk Calculator'!AA92*((E1058*'Bulk Calculator'!Q92)+(F1058*SQRT(1-'Bulk Calculator'!Q92^2)))/'Bulk Calculator'!J92/'Bulk Calculator'!K92*100,D1058*'Bulk Calculator'!AA92*'Bulk Calculator'!O92/'Bulk Calculator'!J92/'Bulk Calculator'!K92*100),"")</f>
        <v>0</v>
      </c>
      <c r="J1058">
        <f>IFERROR(IF(AND(ISNUMBER(E1058),ISNUMBER(F1058),E1058&gt;0,F1058&gt;0),SQRT(3)*'Bulk Calculator'!O92*'Bulk Calculator'!U92*((E1058*'Bulk Calculator'!M92)+(F1058*SQRT(1-'Bulk Calculator'!M92^2)))/'Bulk Calculator'!J92/'Bulk Calculator'!K92*100,D1058*'Bulk Calculator'!U92*'Bulk Calculator'!O92/'Bulk Calculator'!J92/'Bulk Calculator'!K92*100),"")</f>
        <v>0</v>
      </c>
      <c r="K1058">
        <f>IFERROR(G1058*B1058*'Bulk Calculator'!J92/SQRT('Bulk Calculator'!S92)/1000,"")</f>
        <v>127.90308831298798</v>
      </c>
      <c r="L1058">
        <f>IF(OR('Bulk Calculator'!R92="",'Bulk Calculator'!S92="",G1058=""),0,IF(K1058&gt;='Bulk Calculator'!R92,1,0))</f>
        <v>1</v>
      </c>
      <c r="M1058">
        <f>IF(AND(H1058=1,I1058&lt;='OS-DORAEN'!$B$6,J1058&lt;='OS-DORAEN'!$B$5,L1058=1),1,0)</f>
        <v>1</v>
      </c>
      <c r="N1058" t="str">
        <f t="shared" si="16"/>
        <v>R/X</v>
      </c>
    </row>
    <row r="1059" spans="1:14" ht="15" customHeight="1" x14ac:dyDescent="0.35">
      <c r="A1059">
        <v>92</v>
      </c>
      <c r="B1059">
        <v>300</v>
      </c>
      <c r="C1059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Master'!$F:$F,B1059),"")</f>
        <v>455</v>
      </c>
      <c r="D1059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Master'!$F:$F,B1059),"")</f>
        <v>0.13</v>
      </c>
      <c r="E1059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Master'!$F:$F,B1059),"")</f>
        <v>0.13</v>
      </c>
      <c r="F1059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Master'!$F:$F,B1059),"")</f>
        <v>7.0999999999999994E-2</v>
      </c>
      <c r="G1059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Master'!$F:$F,B1059),"")</f>
        <v>143</v>
      </c>
      <c r="H1059">
        <f>IF(AND(ISNUMBER(C1059),C1059&gt;='Bulk Calculator'!U92/('Bulk Calculator'!J92*'Bulk Calculator'!L92)),1,0)</f>
        <v>1</v>
      </c>
      <c r="I1059">
        <f>IFERROR(IF(AND(ISNUMBER(E1059),ISNUMBER(F1059),E1059&gt;0,F1059&gt;0),SQRT(3)*'Bulk Calculator'!O92*'Bulk Calculator'!AA92*((E1059*'Bulk Calculator'!Q92)+(F1059*SQRT(1-'Bulk Calculator'!Q92^2)))/'Bulk Calculator'!J92/'Bulk Calculator'!K92*100,D1059*'Bulk Calculator'!AA92*'Bulk Calculator'!O92/'Bulk Calculator'!J92/'Bulk Calculator'!K92*100),"")</f>
        <v>0</v>
      </c>
      <c r="J1059">
        <f>IFERROR(IF(AND(ISNUMBER(E1059),ISNUMBER(F1059),E1059&gt;0,F1059&gt;0),SQRT(3)*'Bulk Calculator'!O92*'Bulk Calculator'!U92*((E1059*'Bulk Calculator'!M92)+(F1059*SQRT(1-'Bulk Calculator'!M92^2)))/'Bulk Calculator'!J92/'Bulk Calculator'!K92*100,D1059*'Bulk Calculator'!U92*'Bulk Calculator'!O92/'Bulk Calculator'!J92/'Bulk Calculator'!K92*100),"")</f>
        <v>0</v>
      </c>
      <c r="K1059">
        <f>IFERROR(G1059*B1059*'Bulk Calculator'!J92/SQRT('Bulk Calculator'!S92)/1000,"")</f>
        <v>95.927316234740985</v>
      </c>
      <c r="L1059">
        <f>IF(OR('Bulk Calculator'!R92="",'Bulk Calculator'!S92="",G1059=""),0,IF(K1059&gt;='Bulk Calculator'!R92,1,0))</f>
        <v>1</v>
      </c>
      <c r="M1059">
        <f>IF(AND(H1059=1,I1059&lt;='OS-DORAEN'!$B$6,J1059&lt;='OS-DORAEN'!$B$5,L1059=1),1,0)</f>
        <v>1</v>
      </c>
      <c r="N1059" t="str">
        <f t="shared" si="16"/>
        <v>R/X</v>
      </c>
    </row>
    <row r="1060" spans="1:14" ht="15" customHeight="1" x14ac:dyDescent="0.35">
      <c r="A1060">
        <v>92</v>
      </c>
      <c r="B1060">
        <v>240</v>
      </c>
      <c r="C1060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Master'!$F:$F,B1060),"")</f>
        <v>399</v>
      </c>
      <c r="D1060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Master'!$F:$F,B1060),"")</f>
        <v>0.16200000000000001</v>
      </c>
      <c r="E1060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Master'!$F:$F,B1060),"")</f>
        <v>0.16200000000000001</v>
      </c>
      <c r="F1060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Master'!$F:$F,B1060),"")</f>
        <v>7.1999999999999995E-2</v>
      </c>
      <c r="G1060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Master'!$F:$F,B1060),"")</f>
        <v>143</v>
      </c>
      <c r="H1060">
        <f>IF(AND(ISNUMBER(C1060),C1060&gt;='Bulk Calculator'!U92/('Bulk Calculator'!J92*'Bulk Calculator'!L92)),1,0)</f>
        <v>1</v>
      </c>
      <c r="I1060">
        <f>IFERROR(IF(AND(ISNUMBER(E1060),ISNUMBER(F1060),E1060&gt;0,F1060&gt;0),SQRT(3)*'Bulk Calculator'!O92*'Bulk Calculator'!AA92*((E1060*'Bulk Calculator'!Q92)+(F1060*SQRT(1-'Bulk Calculator'!Q92^2)))/'Bulk Calculator'!J92/'Bulk Calculator'!K92*100,D1060*'Bulk Calculator'!AA92*'Bulk Calculator'!O92/'Bulk Calculator'!J92/'Bulk Calculator'!K92*100),"")</f>
        <v>0</v>
      </c>
      <c r="J1060">
        <f>IFERROR(IF(AND(ISNUMBER(E1060),ISNUMBER(F1060),E1060&gt;0,F1060&gt;0),SQRT(3)*'Bulk Calculator'!O92*'Bulk Calculator'!U92*((E1060*'Bulk Calculator'!M92)+(F1060*SQRT(1-'Bulk Calculator'!M92^2)))/'Bulk Calculator'!J92/'Bulk Calculator'!K92*100,D1060*'Bulk Calculator'!U92*'Bulk Calculator'!O92/'Bulk Calculator'!J92/'Bulk Calculator'!K92*100),"")</f>
        <v>0</v>
      </c>
      <c r="K1060">
        <f>IFERROR(G1060*B1060*'Bulk Calculator'!J92/SQRT('Bulk Calculator'!S92)/1000,"")</f>
        <v>76.741852987792782</v>
      </c>
      <c r="L1060">
        <f>IF(OR('Bulk Calculator'!R92="",'Bulk Calculator'!S92="",G1060=""),0,IF(K1060&gt;='Bulk Calculator'!R92,1,0))</f>
        <v>1</v>
      </c>
      <c r="M1060">
        <f>IF(AND(H1060=1,I1060&lt;='OS-DORAEN'!$B$6,J1060&lt;='OS-DORAEN'!$B$5,L1060=1),1,0)</f>
        <v>1</v>
      </c>
      <c r="N1060" t="str">
        <f t="shared" si="16"/>
        <v>R/X</v>
      </c>
    </row>
    <row r="1061" spans="1:14" ht="15" customHeight="1" x14ac:dyDescent="0.35">
      <c r="A1061">
        <v>92</v>
      </c>
      <c r="B1061">
        <v>185</v>
      </c>
      <c r="C1061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Master'!$F:$F,B1061),"")</f>
        <v>337</v>
      </c>
      <c r="D1061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Master'!$F:$F,B1061),"")</f>
        <v>0.21099999999999999</v>
      </c>
      <c r="E1061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Master'!$F:$F,B1061),"")</f>
        <v>0.21099999999999999</v>
      </c>
      <c r="F1061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Master'!$F:$F,B1061),"")</f>
        <v>7.1999999999999995E-2</v>
      </c>
      <c r="G1061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Master'!$F:$F,B1061),"")</f>
        <v>143</v>
      </c>
      <c r="H1061">
        <f>IF(AND(ISNUMBER(C1061),C1061&gt;='Bulk Calculator'!U92/('Bulk Calculator'!J92*'Bulk Calculator'!L92)),1,0)</f>
        <v>1</v>
      </c>
      <c r="I1061">
        <f>IFERROR(IF(AND(ISNUMBER(E1061),ISNUMBER(F1061),E1061&gt;0,F1061&gt;0),SQRT(3)*'Bulk Calculator'!O92*'Bulk Calculator'!AA92*((E1061*'Bulk Calculator'!Q92)+(F1061*SQRT(1-'Bulk Calculator'!Q92^2)))/'Bulk Calculator'!J92/'Bulk Calculator'!K92*100,D1061*'Bulk Calculator'!AA92*'Bulk Calculator'!O92/'Bulk Calculator'!J92/'Bulk Calculator'!K92*100),"")</f>
        <v>0</v>
      </c>
      <c r="J1061">
        <f>IFERROR(IF(AND(ISNUMBER(E1061),ISNUMBER(F1061),E1061&gt;0,F1061&gt;0),SQRT(3)*'Bulk Calculator'!O92*'Bulk Calculator'!U92*((E1061*'Bulk Calculator'!M92)+(F1061*SQRT(1-'Bulk Calculator'!M92^2)))/'Bulk Calculator'!J92/'Bulk Calculator'!K92*100,D1061*'Bulk Calculator'!U92*'Bulk Calculator'!O92/'Bulk Calculator'!J92/'Bulk Calculator'!K92*100),"")</f>
        <v>0</v>
      </c>
      <c r="K1061">
        <f>IFERROR(G1061*B1061*'Bulk Calculator'!J92/SQRT('Bulk Calculator'!S92)/1000,"")</f>
        <v>59.155178344756941</v>
      </c>
      <c r="L1061">
        <f>IF(OR('Bulk Calculator'!R92="",'Bulk Calculator'!S92="",G1061=""),0,IF(K1061&gt;='Bulk Calculator'!R92,1,0))</f>
        <v>1</v>
      </c>
      <c r="M1061">
        <f>IF(AND(H1061=1,I1061&lt;='OS-DORAEN'!$B$6,J1061&lt;='OS-DORAEN'!$B$5,L1061=1),1,0)</f>
        <v>1</v>
      </c>
      <c r="N1061" t="str">
        <f t="shared" si="16"/>
        <v>R/X</v>
      </c>
    </row>
    <row r="1062" spans="1:14" ht="15" customHeight="1" x14ac:dyDescent="0.35">
      <c r="A1062">
        <v>92</v>
      </c>
      <c r="B1062">
        <v>150</v>
      </c>
      <c r="C1062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Master'!$F:$F,B1062),"")</f>
        <v>292</v>
      </c>
      <c r="D1062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Master'!$F:$F,B1062),"")</f>
        <v>0.26500000000000001</v>
      </c>
      <c r="E1062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Master'!$F:$F,B1062),"")</f>
        <v>0.26500000000000001</v>
      </c>
      <c r="F1062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Master'!$F:$F,B1062),"")</f>
        <v>7.1999999999999995E-2</v>
      </c>
      <c r="G1062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Master'!$F:$F,B1062),"")</f>
        <v>143</v>
      </c>
      <c r="H1062">
        <f>IF(AND(ISNUMBER(C1062),C1062&gt;='Bulk Calculator'!U92/('Bulk Calculator'!J92*'Bulk Calculator'!L92)),1,0)</f>
        <v>1</v>
      </c>
      <c r="I1062">
        <f>IFERROR(IF(AND(ISNUMBER(E1062),ISNUMBER(F1062),E1062&gt;0,F1062&gt;0),SQRT(3)*'Bulk Calculator'!O92*'Bulk Calculator'!AA92*((E1062*'Bulk Calculator'!Q92)+(F1062*SQRT(1-'Bulk Calculator'!Q92^2)))/'Bulk Calculator'!J92/'Bulk Calculator'!K92*100,D1062*'Bulk Calculator'!AA92*'Bulk Calculator'!O92/'Bulk Calculator'!J92/'Bulk Calculator'!K92*100),"")</f>
        <v>0</v>
      </c>
      <c r="J1062">
        <f>IFERROR(IF(AND(ISNUMBER(E1062),ISNUMBER(F1062),E1062&gt;0,F1062&gt;0),SQRT(3)*'Bulk Calculator'!O92*'Bulk Calculator'!U92*((E1062*'Bulk Calculator'!M92)+(F1062*SQRT(1-'Bulk Calculator'!M92^2)))/'Bulk Calculator'!J92/'Bulk Calculator'!K92*100,D1062*'Bulk Calculator'!U92*'Bulk Calculator'!O92/'Bulk Calculator'!J92/'Bulk Calculator'!K92*100),"")</f>
        <v>0</v>
      </c>
      <c r="K1062">
        <f>IFERROR(G1062*B1062*'Bulk Calculator'!J92/SQRT('Bulk Calculator'!S92)/1000,"")</f>
        <v>47.963658117370493</v>
      </c>
      <c r="L1062">
        <f>IF(OR('Bulk Calculator'!R92="",'Bulk Calculator'!S92="",G1062=""),0,IF(K1062&gt;='Bulk Calculator'!R92,1,0))</f>
        <v>1</v>
      </c>
      <c r="M1062">
        <f>IF(AND(H1062=1,I1062&lt;='OS-DORAEN'!$B$6,J1062&lt;='OS-DORAEN'!$B$5,L1062=1),1,0)</f>
        <v>1</v>
      </c>
      <c r="N1062" t="str">
        <f t="shared" si="16"/>
        <v>R/X</v>
      </c>
    </row>
    <row r="1063" spans="1:14" ht="15" customHeight="1" x14ac:dyDescent="0.35">
      <c r="A1063">
        <v>92</v>
      </c>
      <c r="B1063">
        <v>120</v>
      </c>
      <c r="C1063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Master'!$F:$F,B1063),"")</f>
        <v>257</v>
      </c>
      <c r="D1063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Master'!$F:$F,B1063),"")</f>
        <v>0.32500000000000001</v>
      </c>
      <c r="E1063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Master'!$F:$F,B1063),"")</f>
        <v>0.32500000000000001</v>
      </c>
      <c r="F1063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Master'!$F:$F,B1063),"")</f>
        <v>7.1999999999999995E-2</v>
      </c>
      <c r="G1063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Master'!$F:$F,B1063),"")</f>
        <v>143</v>
      </c>
      <c r="H1063">
        <f>IF(AND(ISNUMBER(C1063),C1063&gt;='Bulk Calculator'!U92/('Bulk Calculator'!J92*'Bulk Calculator'!L92)),1,0)</f>
        <v>1</v>
      </c>
      <c r="I1063">
        <f>IFERROR(IF(AND(ISNUMBER(E1063),ISNUMBER(F1063),E1063&gt;0,F1063&gt;0),SQRT(3)*'Bulk Calculator'!O92*'Bulk Calculator'!AA92*((E1063*'Bulk Calculator'!Q92)+(F1063*SQRT(1-'Bulk Calculator'!Q92^2)))/'Bulk Calculator'!J92/'Bulk Calculator'!K92*100,D1063*'Bulk Calculator'!AA92*'Bulk Calculator'!O92/'Bulk Calculator'!J92/'Bulk Calculator'!K92*100),"")</f>
        <v>0</v>
      </c>
      <c r="J1063">
        <f>IFERROR(IF(AND(ISNUMBER(E1063),ISNUMBER(F1063),E1063&gt;0,F1063&gt;0),SQRT(3)*'Bulk Calculator'!O92*'Bulk Calculator'!U92*((E1063*'Bulk Calculator'!M92)+(F1063*SQRT(1-'Bulk Calculator'!M92^2)))/'Bulk Calculator'!J92/'Bulk Calculator'!K92*100,D1063*'Bulk Calculator'!U92*'Bulk Calculator'!O92/'Bulk Calculator'!J92/'Bulk Calculator'!K92*100),"")</f>
        <v>0</v>
      </c>
      <c r="K1063">
        <f>IFERROR(G1063*B1063*'Bulk Calculator'!J92/SQRT('Bulk Calculator'!S92)/1000,"")</f>
        <v>38.370926493896391</v>
      </c>
      <c r="L1063">
        <f>IF(OR('Bulk Calculator'!R92="",'Bulk Calculator'!S92="",G1063=""),0,IF(K1063&gt;='Bulk Calculator'!R92,1,0))</f>
        <v>1</v>
      </c>
      <c r="M1063">
        <f>IF(AND(H1063=1,I1063&lt;='OS-DORAEN'!$B$6,J1063&lt;='OS-DORAEN'!$B$5,L1063=1),1,0)</f>
        <v>1</v>
      </c>
      <c r="N1063" t="str">
        <f t="shared" si="16"/>
        <v>R/X</v>
      </c>
    </row>
    <row r="1064" spans="1:14" ht="15" customHeight="1" x14ac:dyDescent="0.35">
      <c r="A1064">
        <v>92</v>
      </c>
      <c r="B1064">
        <v>95</v>
      </c>
      <c r="C1064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Master'!$F:$F,B1064),"")</f>
        <v>221</v>
      </c>
      <c r="D1064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Master'!$F:$F,B1064),"")</f>
        <v>0.41</v>
      </c>
      <c r="E1064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Master'!$F:$F,B1064),"")</f>
        <v>0.41</v>
      </c>
      <c r="F1064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Master'!$F:$F,B1064),"")</f>
        <v>7.3999999999999996E-2</v>
      </c>
      <c r="G1064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Master'!$F:$F,B1064),"")</f>
        <v>143</v>
      </c>
      <c r="H1064">
        <f>IF(AND(ISNUMBER(C1064),C1064&gt;='Bulk Calculator'!U92/('Bulk Calculator'!J92*'Bulk Calculator'!L92)),1,0)</f>
        <v>1</v>
      </c>
      <c r="I1064">
        <f>IFERROR(IF(AND(ISNUMBER(E1064),ISNUMBER(F1064),E1064&gt;0,F1064&gt;0),SQRT(3)*'Bulk Calculator'!O92*'Bulk Calculator'!AA92*((E1064*'Bulk Calculator'!Q92)+(F1064*SQRT(1-'Bulk Calculator'!Q92^2)))/'Bulk Calculator'!J92/'Bulk Calculator'!K92*100,D1064*'Bulk Calculator'!AA92*'Bulk Calculator'!O92/'Bulk Calculator'!J92/'Bulk Calculator'!K92*100),"")</f>
        <v>0</v>
      </c>
      <c r="J1064">
        <f>IFERROR(IF(AND(ISNUMBER(E1064),ISNUMBER(F1064),E1064&gt;0,F1064&gt;0),SQRT(3)*'Bulk Calculator'!O92*'Bulk Calculator'!U92*((E1064*'Bulk Calculator'!M92)+(F1064*SQRT(1-'Bulk Calculator'!M92^2)))/'Bulk Calculator'!J92/'Bulk Calculator'!K92*100,D1064*'Bulk Calculator'!U92*'Bulk Calculator'!O92/'Bulk Calculator'!J92/'Bulk Calculator'!K92*100),"")</f>
        <v>0</v>
      </c>
      <c r="K1064">
        <f>IFERROR(G1064*B1064*'Bulk Calculator'!J92/SQRT('Bulk Calculator'!S92)/1000,"")</f>
        <v>30.376983474334644</v>
      </c>
      <c r="L1064">
        <f>IF(OR('Bulk Calculator'!R92="",'Bulk Calculator'!S92="",G1064=""),0,IF(K1064&gt;='Bulk Calculator'!R92,1,0))</f>
        <v>1</v>
      </c>
      <c r="M1064">
        <f>IF(AND(H1064=1,I1064&lt;='OS-DORAEN'!$B$6,J1064&lt;='OS-DORAEN'!$B$5,L1064=1),1,0)</f>
        <v>1</v>
      </c>
      <c r="N1064" t="str">
        <f t="shared" si="16"/>
        <v>R/X</v>
      </c>
    </row>
    <row r="1065" spans="1:14" ht="15" customHeight="1" x14ac:dyDescent="0.35">
      <c r="A1065">
        <v>92</v>
      </c>
      <c r="B1065">
        <v>70</v>
      </c>
      <c r="C1065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Master'!$F:$F,B1065),"")</f>
        <v>179</v>
      </c>
      <c r="D1065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Master'!$F:$F,B1065),"")</f>
        <v>0.56699999999999995</v>
      </c>
      <c r="E1065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Master'!$F:$F,B1065),"")</f>
        <v>0.56699999999999995</v>
      </c>
      <c r="F1065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Master'!$F:$F,B1065),"")</f>
        <v>7.6999999999999999E-2</v>
      </c>
      <c r="G1065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Master'!$F:$F,B1065),"")</f>
        <v>143</v>
      </c>
      <c r="H1065">
        <f>IF(AND(ISNUMBER(C1065),C1065&gt;='Bulk Calculator'!U92/('Bulk Calculator'!J92*'Bulk Calculator'!L92)),1,0)</f>
        <v>1</v>
      </c>
      <c r="I1065">
        <f>IFERROR(IF(AND(ISNUMBER(E1065),ISNUMBER(F1065),E1065&gt;0,F1065&gt;0),SQRT(3)*'Bulk Calculator'!O92*'Bulk Calculator'!AA92*((E1065*'Bulk Calculator'!Q92)+(F1065*SQRT(1-'Bulk Calculator'!Q92^2)))/'Bulk Calculator'!J92/'Bulk Calculator'!K92*100,D1065*'Bulk Calculator'!AA92*'Bulk Calculator'!O92/'Bulk Calculator'!J92/'Bulk Calculator'!K92*100),"")</f>
        <v>0</v>
      </c>
      <c r="J1065">
        <f>IFERROR(IF(AND(ISNUMBER(E1065),ISNUMBER(F1065),E1065&gt;0,F1065&gt;0),SQRT(3)*'Bulk Calculator'!O92*'Bulk Calculator'!U92*((E1065*'Bulk Calculator'!M92)+(F1065*SQRT(1-'Bulk Calculator'!M92^2)))/'Bulk Calculator'!J92/'Bulk Calculator'!K92*100,D1065*'Bulk Calculator'!U92*'Bulk Calculator'!O92/'Bulk Calculator'!J92/'Bulk Calculator'!K92*100),"")</f>
        <v>0</v>
      </c>
      <c r="K1065">
        <f>IFERROR(G1065*B1065*'Bulk Calculator'!J92/SQRT('Bulk Calculator'!S92)/1000,"")</f>
        <v>22.383040454772893</v>
      </c>
      <c r="L1065">
        <f>IF(OR('Bulk Calculator'!R92="",'Bulk Calculator'!S92="",G1065=""),0,IF(K1065&gt;='Bulk Calculator'!R92,1,0))</f>
        <v>1</v>
      </c>
      <c r="M1065">
        <f>IF(AND(H1065=1,I1065&lt;='OS-DORAEN'!$B$6,J1065&lt;='OS-DORAEN'!$B$5,L1065=1),1,0)</f>
        <v>1</v>
      </c>
      <c r="N1065" t="str">
        <f t="shared" si="16"/>
        <v>R/X</v>
      </c>
    </row>
    <row r="1066" spans="1:14" ht="15" customHeight="1" x14ac:dyDescent="0.35">
      <c r="A1066">
        <v>92</v>
      </c>
      <c r="B1066">
        <v>50</v>
      </c>
      <c r="C1066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Master'!$F:$F,B1066),"")</f>
        <v>142</v>
      </c>
      <c r="D1066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Master'!$F:$F,B1066),"")</f>
        <v>0.82</v>
      </c>
      <c r="E1066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Master'!$F:$F,B1066),"")</f>
        <v>0.82</v>
      </c>
      <c r="F1066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Master'!$F:$F,B1066),"")</f>
        <v>7.8E-2</v>
      </c>
      <c r="G1066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Master'!$F:$F,B1066),"")</f>
        <v>143</v>
      </c>
      <c r="H1066">
        <f>IF(AND(ISNUMBER(C1066),C1066&gt;='Bulk Calculator'!U92/('Bulk Calculator'!J92*'Bulk Calculator'!L92)),1,0)</f>
        <v>1</v>
      </c>
      <c r="I1066">
        <f>IFERROR(IF(AND(ISNUMBER(E1066),ISNUMBER(F1066),E1066&gt;0,F1066&gt;0),SQRT(3)*'Bulk Calculator'!O92*'Bulk Calculator'!AA92*((E1066*'Bulk Calculator'!Q92)+(F1066*SQRT(1-'Bulk Calculator'!Q92^2)))/'Bulk Calculator'!J92/'Bulk Calculator'!K92*100,D1066*'Bulk Calculator'!AA92*'Bulk Calculator'!O92/'Bulk Calculator'!J92/'Bulk Calculator'!K92*100),"")</f>
        <v>0</v>
      </c>
      <c r="J1066">
        <f>IFERROR(IF(AND(ISNUMBER(E1066),ISNUMBER(F1066),E1066&gt;0,F1066&gt;0),SQRT(3)*'Bulk Calculator'!O92*'Bulk Calculator'!U92*((E1066*'Bulk Calculator'!M92)+(F1066*SQRT(1-'Bulk Calculator'!M92^2)))/'Bulk Calculator'!J92/'Bulk Calculator'!K92*100,D1066*'Bulk Calculator'!U92*'Bulk Calculator'!O92/'Bulk Calculator'!J92/'Bulk Calculator'!K92*100),"")</f>
        <v>0</v>
      </c>
      <c r="K1066">
        <f>IFERROR(G1066*B1066*'Bulk Calculator'!J92/SQRT('Bulk Calculator'!S92)/1000,"")</f>
        <v>15.987886039123497</v>
      </c>
      <c r="L1066">
        <f>IF(OR('Bulk Calculator'!R92="",'Bulk Calculator'!S92="",G1066=""),0,IF(K1066&gt;='Bulk Calculator'!R92,1,0))</f>
        <v>1</v>
      </c>
      <c r="M1066">
        <f>IF(AND(H1066=1,I1066&lt;='OS-DORAEN'!$B$6,J1066&lt;='OS-DORAEN'!$B$5,L1066=1),1,0)</f>
        <v>1</v>
      </c>
      <c r="N1066" t="str">
        <f t="shared" si="16"/>
        <v>R/X</v>
      </c>
    </row>
    <row r="1067" spans="1:14" ht="15" customHeight="1" x14ac:dyDescent="0.35">
      <c r="A1067">
        <v>92</v>
      </c>
      <c r="B1067">
        <v>35</v>
      </c>
      <c r="C1067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Master'!$F:$F,B1067),"")</f>
        <v>117</v>
      </c>
      <c r="D1067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Master'!$F:$F,B1067),"")</f>
        <v>1.1100000000000001</v>
      </c>
      <c r="E1067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Master'!$F:$F,B1067),"")</f>
        <v>1.1100000000000001</v>
      </c>
      <c r="F1067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Master'!$F:$F,B1067),"")</f>
        <v>0.08</v>
      </c>
      <c r="G1067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Master'!$F:$F,B1067),"")</f>
        <v>143</v>
      </c>
      <c r="H1067">
        <f>IF(AND(ISNUMBER(C1067),C1067&gt;='Bulk Calculator'!U92/('Bulk Calculator'!J92*'Bulk Calculator'!L92)),1,0)</f>
        <v>1</v>
      </c>
      <c r="I1067">
        <f>IFERROR(IF(AND(ISNUMBER(E1067),ISNUMBER(F1067),E1067&gt;0,F1067&gt;0),SQRT(3)*'Bulk Calculator'!O92*'Bulk Calculator'!AA92*((E1067*'Bulk Calculator'!Q92)+(F1067*SQRT(1-'Bulk Calculator'!Q92^2)))/'Bulk Calculator'!J92/'Bulk Calculator'!K92*100,D1067*'Bulk Calculator'!AA92*'Bulk Calculator'!O92/'Bulk Calculator'!J92/'Bulk Calculator'!K92*100),"")</f>
        <v>0</v>
      </c>
      <c r="J1067">
        <f>IFERROR(IF(AND(ISNUMBER(E1067),ISNUMBER(F1067),E1067&gt;0,F1067&gt;0),SQRT(3)*'Bulk Calculator'!O92*'Bulk Calculator'!U92*((E1067*'Bulk Calculator'!M92)+(F1067*SQRT(1-'Bulk Calculator'!M92^2)))/'Bulk Calculator'!J92/'Bulk Calculator'!K92*100,D1067*'Bulk Calculator'!U92*'Bulk Calculator'!O92/'Bulk Calculator'!J92/'Bulk Calculator'!K92*100),"")</f>
        <v>0</v>
      </c>
      <c r="K1067">
        <f>IFERROR(G1067*B1067*'Bulk Calculator'!J92/SQRT('Bulk Calculator'!S92)/1000,"")</f>
        <v>11.191520227386446</v>
      </c>
      <c r="L1067">
        <f>IF(OR('Bulk Calculator'!R92="",'Bulk Calculator'!S92="",G1067=""),0,IF(K1067&gt;='Bulk Calculator'!R92,1,0))</f>
        <v>1</v>
      </c>
      <c r="M1067">
        <f>IF(AND(H1067=1,I1067&lt;='OS-DORAEN'!$B$6,J1067&lt;='OS-DORAEN'!$B$5,L1067=1),1,0)</f>
        <v>1</v>
      </c>
      <c r="N1067" t="str">
        <f t="shared" si="16"/>
        <v>R/X</v>
      </c>
    </row>
    <row r="1068" spans="1:14" ht="15" customHeight="1" x14ac:dyDescent="0.35">
      <c r="A1068">
        <v>92</v>
      </c>
      <c r="B1068">
        <v>25</v>
      </c>
      <c r="C1068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Master'!$F:$F,B1068),"")</f>
        <v>96</v>
      </c>
      <c r="D1068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Master'!$F:$F,B1068),"")</f>
        <v>1.54</v>
      </c>
      <c r="E1068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Master'!$F:$F,B1068),"")</f>
        <v>1.54</v>
      </c>
      <c r="F1068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Master'!$F:$F,B1068),"")</f>
        <v>0.08</v>
      </c>
      <c r="G1068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Master'!$F:$F,B1068),"")</f>
        <v>143</v>
      </c>
      <c r="H1068">
        <f>IF(AND(ISNUMBER(C1068),C1068&gt;='Bulk Calculator'!U92/('Bulk Calculator'!J92*'Bulk Calculator'!L92)),1,0)</f>
        <v>1</v>
      </c>
      <c r="I1068">
        <f>IFERROR(IF(AND(ISNUMBER(E1068),ISNUMBER(F1068),E1068&gt;0,F1068&gt;0),SQRT(3)*'Bulk Calculator'!O92*'Bulk Calculator'!AA92*((E1068*'Bulk Calculator'!Q92)+(F1068*SQRT(1-'Bulk Calculator'!Q92^2)))/'Bulk Calculator'!J92/'Bulk Calculator'!K92*100,D1068*'Bulk Calculator'!AA92*'Bulk Calculator'!O92/'Bulk Calculator'!J92/'Bulk Calculator'!K92*100),"")</f>
        <v>0</v>
      </c>
      <c r="J1068">
        <f>IFERROR(IF(AND(ISNUMBER(E1068),ISNUMBER(F1068),E1068&gt;0,F1068&gt;0),SQRT(3)*'Bulk Calculator'!O92*'Bulk Calculator'!U92*((E1068*'Bulk Calculator'!M92)+(F1068*SQRT(1-'Bulk Calculator'!M92^2)))/'Bulk Calculator'!J92/'Bulk Calculator'!K92*100,D1068*'Bulk Calculator'!U92*'Bulk Calculator'!O92/'Bulk Calculator'!J92/'Bulk Calculator'!K92*100),"")</f>
        <v>0</v>
      </c>
      <c r="K1068">
        <f>IFERROR(G1068*B1068*'Bulk Calculator'!J92/SQRT('Bulk Calculator'!S92)/1000,"")</f>
        <v>7.9939430195617485</v>
      </c>
      <c r="L1068">
        <f>IF(OR('Bulk Calculator'!R92="",'Bulk Calculator'!S92="",G1068=""),0,IF(K1068&gt;='Bulk Calculator'!R92,1,0))</f>
        <v>1</v>
      </c>
      <c r="M1068">
        <f>IF(AND(H1068=1,I1068&lt;='OS-DORAEN'!$B$6,J1068&lt;='OS-DORAEN'!$B$5,L1068=1),1,0)</f>
        <v>1</v>
      </c>
      <c r="N1068" t="str">
        <f t="shared" si="16"/>
        <v>R/X</v>
      </c>
    </row>
    <row r="1069" spans="1:14" ht="15" customHeight="1" x14ac:dyDescent="0.35">
      <c r="A1069">
        <v>92</v>
      </c>
      <c r="B1069">
        <v>16</v>
      </c>
      <c r="C1069">
        <f>IFERROR(SUMIFS('Cable Data Master'!$G:$G,'Cable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Master'!$F:$F,B1069),"")</f>
        <v>0</v>
      </c>
      <c r="D1069">
        <f>IFERROR(SUMIFS('Cable Data Master'!$K:$K,'Cable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Master'!$F:$F,B1069),"")</f>
        <v>0</v>
      </c>
      <c r="E1069">
        <f>IFERROR(SUMIFS('Cable Data Master'!$H:$H,'Cable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Master'!$F:$F,B1069),"")</f>
        <v>0</v>
      </c>
      <c r="F1069">
        <f>IFERROR(SUMIFS('Cable Data Master'!$I:$I,'Cable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Master'!$F:$F,B1069),"")</f>
        <v>0</v>
      </c>
      <c r="G1069">
        <f>IFERROR(SUMIFS('Cable Data Master'!$J:$J,'Cable Data Master'!$A:$A,'Bulk Calculator'!$BF92,'Cable Data Master'!$B:$B,'Bulk Calculator'!$BG92,'Cable Data Master'!$C:$C,'Bulk Calculator'!$BH92,'Cable Data Master'!$D:$D,'Bulk Calculator'!$BI92,'Cable Data Master'!$E:$E,'Bulk Calculator'!$BJ92,'Cable Data Master'!$F:$F,B1069),"")</f>
        <v>0</v>
      </c>
      <c r="H1069">
        <f>IF(AND(ISNUMBER(C1069),C1069&gt;='Bulk Calculator'!U92/('Bulk Calculator'!J92*'Bulk Calculator'!L92)),1,0)</f>
        <v>1</v>
      </c>
      <c r="I1069">
        <f>IFERROR(IF(AND(ISNUMBER(E1069),ISNUMBER(F1069),E1069&gt;0,F1069&gt;0),SQRT(3)*'Bulk Calculator'!O92*'Bulk Calculator'!AA92*((E1069*'Bulk Calculator'!Q92)+(F1069*SQRT(1-'Bulk Calculator'!Q92^2)))/'Bulk Calculator'!J92/'Bulk Calculator'!K92*100,D1069*'Bulk Calculator'!AA92*'Bulk Calculator'!O92/'Bulk Calculator'!J92/'Bulk Calculator'!K92*100),"")</f>
        <v>0</v>
      </c>
      <c r="J1069">
        <f>IFERROR(IF(AND(ISNUMBER(E1069),ISNUMBER(F1069),E1069&gt;0,F1069&gt;0),SQRT(3)*'Bulk Calculator'!O92*'Bulk Calculator'!U92*((E1069*'Bulk Calculator'!M92)+(F1069*SQRT(1-'Bulk Calculator'!M92^2)))/'Bulk Calculator'!J92/'Bulk Calculator'!K92*100,D1069*'Bulk Calculator'!U92*'Bulk Calculator'!O92/'Bulk Calculator'!J92/'Bulk Calculator'!K92*100),"")</f>
        <v>0</v>
      </c>
      <c r="K1069">
        <f>IFERROR(G1069*B1069*'Bulk Calculator'!J92/SQRT('Bulk Calculator'!S92)/1000,"")</f>
        <v>0</v>
      </c>
      <c r="L1069">
        <f>IF(OR('Bulk Calculator'!R92="",'Bulk Calculator'!S92="",G1069=""),0,IF(K1069&gt;='Bulk Calculator'!R92,1,0))</f>
        <v>1</v>
      </c>
      <c r="M1069">
        <f>IF(AND(H1069=1,I1069&lt;='OS-DORAEN'!$B$6,J1069&lt;='OS-DORAEN'!$B$5,L1069=1),1,0)</f>
        <v>1</v>
      </c>
      <c r="N1069" t="str">
        <f t="shared" si="16"/>
        <v>Manufacturer VD Ref</v>
      </c>
    </row>
    <row r="1070" spans="1:14" ht="15" customHeight="1" x14ac:dyDescent="0.35">
      <c r="A1070">
        <v>93</v>
      </c>
      <c r="B1070">
        <v>400</v>
      </c>
      <c r="C1070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Master'!$F:$F,B1070),"")</f>
        <v>530</v>
      </c>
      <c r="D1070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Master'!$F:$F,B1070),"")</f>
        <v>0.1023</v>
      </c>
      <c r="E1070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Master'!$F:$F,B1070),"")</f>
        <v>0.1023</v>
      </c>
      <c r="F1070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Master'!$F:$F,B1070),"")</f>
        <v>7.0000000000000007E-2</v>
      </c>
      <c r="G1070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Master'!$F:$F,B1070),"")</f>
        <v>143</v>
      </c>
      <c r="H1070">
        <f>IF(AND(ISNUMBER(C1070),C1070&gt;='Bulk Calculator'!U93/('Bulk Calculator'!J93*'Bulk Calculator'!L93)),1,0)</f>
        <v>1</v>
      </c>
      <c r="I1070">
        <f>IFERROR(IF(AND(ISNUMBER(E1070),ISNUMBER(F1070),E1070&gt;0,F1070&gt;0),SQRT(3)*'Bulk Calculator'!O93*'Bulk Calculator'!AA93*((E1070*'Bulk Calculator'!Q93)+(F1070*SQRT(1-'Bulk Calculator'!Q93^2)))/'Bulk Calculator'!J93/'Bulk Calculator'!K93*100,D1070*'Bulk Calculator'!AA93*'Bulk Calculator'!O93/'Bulk Calculator'!J93/'Bulk Calculator'!K93*100),"")</f>
        <v>0</v>
      </c>
      <c r="J1070">
        <f>IFERROR(IF(AND(ISNUMBER(E1070),ISNUMBER(F1070),E1070&gt;0,F1070&gt;0),SQRT(3)*'Bulk Calculator'!O93*'Bulk Calculator'!U93*((E1070*'Bulk Calculator'!M93)+(F1070*SQRT(1-'Bulk Calculator'!M93^2)))/'Bulk Calculator'!J93/'Bulk Calculator'!K93*100,D1070*'Bulk Calculator'!U93*'Bulk Calculator'!O93/'Bulk Calculator'!J93/'Bulk Calculator'!K93*100),"")</f>
        <v>0</v>
      </c>
      <c r="K1070">
        <f>IFERROR(G1070*B1070*'Bulk Calculator'!J93/SQRT('Bulk Calculator'!S93)/1000,"")</f>
        <v>127.90308831298798</v>
      </c>
      <c r="L1070">
        <f>IF(OR('Bulk Calculator'!R93="",'Bulk Calculator'!S93="",G1070=""),0,IF(K1070&gt;='Bulk Calculator'!R93,1,0))</f>
        <v>1</v>
      </c>
      <c r="M1070">
        <f>IF(AND(H1070=1,I1070&lt;='OS-DORAEN'!$B$6,J1070&lt;='OS-DORAEN'!$B$5,L1070=1),1,0)</f>
        <v>1</v>
      </c>
      <c r="N1070" t="str">
        <f t="shared" si="16"/>
        <v>R/X</v>
      </c>
    </row>
    <row r="1071" spans="1:14" ht="15" customHeight="1" x14ac:dyDescent="0.35">
      <c r="A1071">
        <v>93</v>
      </c>
      <c r="B1071">
        <v>300</v>
      </c>
      <c r="C1071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Master'!$F:$F,B1071),"")</f>
        <v>455</v>
      </c>
      <c r="D1071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Master'!$F:$F,B1071),"")</f>
        <v>0.13</v>
      </c>
      <c r="E1071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Master'!$F:$F,B1071),"")</f>
        <v>0.13</v>
      </c>
      <c r="F1071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Master'!$F:$F,B1071),"")</f>
        <v>7.0999999999999994E-2</v>
      </c>
      <c r="G1071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Master'!$F:$F,B1071),"")</f>
        <v>143</v>
      </c>
      <c r="H1071">
        <f>IF(AND(ISNUMBER(C1071),C1071&gt;='Bulk Calculator'!U93/('Bulk Calculator'!J93*'Bulk Calculator'!L93)),1,0)</f>
        <v>1</v>
      </c>
      <c r="I1071">
        <f>IFERROR(IF(AND(ISNUMBER(E1071),ISNUMBER(F1071),E1071&gt;0,F1071&gt;0),SQRT(3)*'Bulk Calculator'!O93*'Bulk Calculator'!AA93*((E1071*'Bulk Calculator'!Q93)+(F1071*SQRT(1-'Bulk Calculator'!Q93^2)))/'Bulk Calculator'!J93/'Bulk Calculator'!K93*100,D1071*'Bulk Calculator'!AA93*'Bulk Calculator'!O93/'Bulk Calculator'!J93/'Bulk Calculator'!K93*100),"")</f>
        <v>0</v>
      </c>
      <c r="J1071">
        <f>IFERROR(IF(AND(ISNUMBER(E1071),ISNUMBER(F1071),E1071&gt;0,F1071&gt;0),SQRT(3)*'Bulk Calculator'!O93*'Bulk Calculator'!U93*((E1071*'Bulk Calculator'!M93)+(F1071*SQRT(1-'Bulk Calculator'!M93^2)))/'Bulk Calculator'!J93/'Bulk Calculator'!K93*100,D1071*'Bulk Calculator'!U93*'Bulk Calculator'!O93/'Bulk Calculator'!J93/'Bulk Calculator'!K93*100),"")</f>
        <v>0</v>
      </c>
      <c r="K1071">
        <f>IFERROR(G1071*B1071*'Bulk Calculator'!J93/SQRT('Bulk Calculator'!S93)/1000,"")</f>
        <v>95.927316234740985</v>
      </c>
      <c r="L1071">
        <f>IF(OR('Bulk Calculator'!R93="",'Bulk Calculator'!S93="",G1071=""),0,IF(K1071&gt;='Bulk Calculator'!R93,1,0))</f>
        <v>1</v>
      </c>
      <c r="M1071">
        <f>IF(AND(H1071=1,I1071&lt;='OS-DORAEN'!$B$6,J1071&lt;='OS-DORAEN'!$B$5,L1071=1),1,0)</f>
        <v>1</v>
      </c>
      <c r="N1071" t="str">
        <f t="shared" si="16"/>
        <v>R/X</v>
      </c>
    </row>
    <row r="1072" spans="1:14" ht="15" customHeight="1" x14ac:dyDescent="0.35">
      <c r="A1072">
        <v>93</v>
      </c>
      <c r="B1072">
        <v>240</v>
      </c>
      <c r="C1072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Master'!$F:$F,B1072),"")</f>
        <v>399</v>
      </c>
      <c r="D1072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Master'!$F:$F,B1072),"")</f>
        <v>0.16200000000000001</v>
      </c>
      <c r="E1072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Master'!$F:$F,B1072),"")</f>
        <v>0.16200000000000001</v>
      </c>
      <c r="F1072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Master'!$F:$F,B1072),"")</f>
        <v>7.1999999999999995E-2</v>
      </c>
      <c r="G1072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Master'!$F:$F,B1072),"")</f>
        <v>143</v>
      </c>
      <c r="H1072">
        <f>IF(AND(ISNUMBER(C1072),C1072&gt;='Bulk Calculator'!U93/('Bulk Calculator'!J93*'Bulk Calculator'!L93)),1,0)</f>
        <v>1</v>
      </c>
      <c r="I1072">
        <f>IFERROR(IF(AND(ISNUMBER(E1072),ISNUMBER(F1072),E1072&gt;0,F1072&gt;0),SQRT(3)*'Bulk Calculator'!O93*'Bulk Calculator'!AA93*((E1072*'Bulk Calculator'!Q93)+(F1072*SQRT(1-'Bulk Calculator'!Q93^2)))/'Bulk Calculator'!J93/'Bulk Calculator'!K93*100,D1072*'Bulk Calculator'!AA93*'Bulk Calculator'!O93/'Bulk Calculator'!J93/'Bulk Calculator'!K93*100),"")</f>
        <v>0</v>
      </c>
      <c r="J1072">
        <f>IFERROR(IF(AND(ISNUMBER(E1072),ISNUMBER(F1072),E1072&gt;0,F1072&gt;0),SQRT(3)*'Bulk Calculator'!O93*'Bulk Calculator'!U93*((E1072*'Bulk Calculator'!M93)+(F1072*SQRT(1-'Bulk Calculator'!M93^2)))/'Bulk Calculator'!J93/'Bulk Calculator'!K93*100,D1072*'Bulk Calculator'!U93*'Bulk Calculator'!O93/'Bulk Calculator'!J93/'Bulk Calculator'!K93*100),"")</f>
        <v>0</v>
      </c>
      <c r="K1072">
        <f>IFERROR(G1072*B1072*'Bulk Calculator'!J93/SQRT('Bulk Calculator'!S93)/1000,"")</f>
        <v>76.741852987792782</v>
      </c>
      <c r="L1072">
        <f>IF(OR('Bulk Calculator'!R93="",'Bulk Calculator'!S93="",G1072=""),0,IF(K1072&gt;='Bulk Calculator'!R93,1,0))</f>
        <v>1</v>
      </c>
      <c r="M1072">
        <f>IF(AND(H1072=1,I1072&lt;='OS-DORAEN'!$B$6,J1072&lt;='OS-DORAEN'!$B$5,L1072=1),1,0)</f>
        <v>1</v>
      </c>
      <c r="N1072" t="str">
        <f t="shared" si="16"/>
        <v>R/X</v>
      </c>
    </row>
    <row r="1073" spans="1:14" ht="15" customHeight="1" x14ac:dyDescent="0.35">
      <c r="A1073">
        <v>93</v>
      </c>
      <c r="B1073">
        <v>185</v>
      </c>
      <c r="C1073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Master'!$F:$F,B1073),"")</f>
        <v>337</v>
      </c>
      <c r="D1073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Master'!$F:$F,B1073),"")</f>
        <v>0.21099999999999999</v>
      </c>
      <c r="E1073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Master'!$F:$F,B1073),"")</f>
        <v>0.21099999999999999</v>
      </c>
      <c r="F1073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Master'!$F:$F,B1073),"")</f>
        <v>7.1999999999999995E-2</v>
      </c>
      <c r="G1073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Master'!$F:$F,B1073),"")</f>
        <v>143</v>
      </c>
      <c r="H1073">
        <f>IF(AND(ISNUMBER(C1073),C1073&gt;='Bulk Calculator'!U93/('Bulk Calculator'!J93*'Bulk Calculator'!L93)),1,0)</f>
        <v>1</v>
      </c>
      <c r="I1073">
        <f>IFERROR(IF(AND(ISNUMBER(E1073),ISNUMBER(F1073),E1073&gt;0,F1073&gt;0),SQRT(3)*'Bulk Calculator'!O93*'Bulk Calculator'!AA93*((E1073*'Bulk Calculator'!Q93)+(F1073*SQRT(1-'Bulk Calculator'!Q93^2)))/'Bulk Calculator'!J93/'Bulk Calculator'!K93*100,D1073*'Bulk Calculator'!AA93*'Bulk Calculator'!O93/'Bulk Calculator'!J93/'Bulk Calculator'!K93*100),"")</f>
        <v>0</v>
      </c>
      <c r="J1073">
        <f>IFERROR(IF(AND(ISNUMBER(E1073),ISNUMBER(F1073),E1073&gt;0,F1073&gt;0),SQRT(3)*'Bulk Calculator'!O93*'Bulk Calculator'!U93*((E1073*'Bulk Calculator'!M93)+(F1073*SQRT(1-'Bulk Calculator'!M93^2)))/'Bulk Calculator'!J93/'Bulk Calculator'!K93*100,D1073*'Bulk Calculator'!U93*'Bulk Calculator'!O93/'Bulk Calculator'!J93/'Bulk Calculator'!K93*100),"")</f>
        <v>0</v>
      </c>
      <c r="K1073">
        <f>IFERROR(G1073*B1073*'Bulk Calculator'!J93/SQRT('Bulk Calculator'!S93)/1000,"")</f>
        <v>59.155178344756941</v>
      </c>
      <c r="L1073">
        <f>IF(OR('Bulk Calculator'!R93="",'Bulk Calculator'!S93="",G1073=""),0,IF(K1073&gt;='Bulk Calculator'!R93,1,0))</f>
        <v>1</v>
      </c>
      <c r="M1073">
        <f>IF(AND(H1073=1,I1073&lt;='OS-DORAEN'!$B$6,J1073&lt;='OS-DORAEN'!$B$5,L1073=1),1,0)</f>
        <v>1</v>
      </c>
      <c r="N1073" t="str">
        <f t="shared" si="16"/>
        <v>R/X</v>
      </c>
    </row>
    <row r="1074" spans="1:14" ht="15" customHeight="1" x14ac:dyDescent="0.35">
      <c r="A1074">
        <v>93</v>
      </c>
      <c r="B1074">
        <v>150</v>
      </c>
      <c r="C1074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Master'!$F:$F,B1074),"")</f>
        <v>292</v>
      </c>
      <c r="D1074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Master'!$F:$F,B1074),"")</f>
        <v>0.26500000000000001</v>
      </c>
      <c r="E1074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Master'!$F:$F,B1074),"")</f>
        <v>0.26500000000000001</v>
      </c>
      <c r="F1074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Master'!$F:$F,B1074),"")</f>
        <v>7.1999999999999995E-2</v>
      </c>
      <c r="G1074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Master'!$F:$F,B1074),"")</f>
        <v>143</v>
      </c>
      <c r="H1074">
        <f>IF(AND(ISNUMBER(C1074),C1074&gt;='Bulk Calculator'!U93/('Bulk Calculator'!J93*'Bulk Calculator'!L93)),1,0)</f>
        <v>1</v>
      </c>
      <c r="I1074">
        <f>IFERROR(IF(AND(ISNUMBER(E1074),ISNUMBER(F1074),E1074&gt;0,F1074&gt;0),SQRT(3)*'Bulk Calculator'!O93*'Bulk Calculator'!AA93*((E1074*'Bulk Calculator'!Q93)+(F1074*SQRT(1-'Bulk Calculator'!Q93^2)))/'Bulk Calculator'!J93/'Bulk Calculator'!K93*100,D1074*'Bulk Calculator'!AA93*'Bulk Calculator'!O93/'Bulk Calculator'!J93/'Bulk Calculator'!K93*100),"")</f>
        <v>0</v>
      </c>
      <c r="J1074">
        <f>IFERROR(IF(AND(ISNUMBER(E1074),ISNUMBER(F1074),E1074&gt;0,F1074&gt;0),SQRT(3)*'Bulk Calculator'!O93*'Bulk Calculator'!U93*((E1074*'Bulk Calculator'!M93)+(F1074*SQRT(1-'Bulk Calculator'!M93^2)))/'Bulk Calculator'!J93/'Bulk Calculator'!K93*100,D1074*'Bulk Calculator'!U93*'Bulk Calculator'!O93/'Bulk Calculator'!J93/'Bulk Calculator'!K93*100),"")</f>
        <v>0</v>
      </c>
      <c r="K1074">
        <f>IFERROR(G1074*B1074*'Bulk Calculator'!J93/SQRT('Bulk Calculator'!S93)/1000,"")</f>
        <v>47.963658117370493</v>
      </c>
      <c r="L1074">
        <f>IF(OR('Bulk Calculator'!R93="",'Bulk Calculator'!S93="",G1074=""),0,IF(K1074&gt;='Bulk Calculator'!R93,1,0))</f>
        <v>1</v>
      </c>
      <c r="M1074">
        <f>IF(AND(H1074=1,I1074&lt;='OS-DORAEN'!$B$6,J1074&lt;='OS-DORAEN'!$B$5,L1074=1),1,0)</f>
        <v>1</v>
      </c>
      <c r="N1074" t="str">
        <f t="shared" si="16"/>
        <v>R/X</v>
      </c>
    </row>
    <row r="1075" spans="1:14" ht="15" customHeight="1" x14ac:dyDescent="0.35">
      <c r="A1075">
        <v>93</v>
      </c>
      <c r="B1075">
        <v>120</v>
      </c>
      <c r="C1075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Master'!$F:$F,B1075),"")</f>
        <v>257</v>
      </c>
      <c r="D1075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Master'!$F:$F,B1075),"")</f>
        <v>0.32500000000000001</v>
      </c>
      <c r="E1075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Master'!$F:$F,B1075),"")</f>
        <v>0.32500000000000001</v>
      </c>
      <c r="F1075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Master'!$F:$F,B1075),"")</f>
        <v>7.1999999999999995E-2</v>
      </c>
      <c r="G1075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Master'!$F:$F,B1075),"")</f>
        <v>143</v>
      </c>
      <c r="H1075">
        <f>IF(AND(ISNUMBER(C1075),C1075&gt;='Bulk Calculator'!U93/('Bulk Calculator'!J93*'Bulk Calculator'!L93)),1,0)</f>
        <v>1</v>
      </c>
      <c r="I1075">
        <f>IFERROR(IF(AND(ISNUMBER(E1075),ISNUMBER(F1075),E1075&gt;0,F1075&gt;0),SQRT(3)*'Bulk Calculator'!O93*'Bulk Calculator'!AA93*((E1075*'Bulk Calculator'!Q93)+(F1075*SQRT(1-'Bulk Calculator'!Q93^2)))/'Bulk Calculator'!J93/'Bulk Calculator'!K93*100,D1075*'Bulk Calculator'!AA93*'Bulk Calculator'!O93/'Bulk Calculator'!J93/'Bulk Calculator'!K93*100),"")</f>
        <v>0</v>
      </c>
      <c r="J1075">
        <f>IFERROR(IF(AND(ISNUMBER(E1075),ISNUMBER(F1075),E1075&gt;0,F1075&gt;0),SQRT(3)*'Bulk Calculator'!O93*'Bulk Calculator'!U93*((E1075*'Bulk Calculator'!M93)+(F1075*SQRT(1-'Bulk Calculator'!M93^2)))/'Bulk Calculator'!J93/'Bulk Calculator'!K93*100,D1075*'Bulk Calculator'!U93*'Bulk Calculator'!O93/'Bulk Calculator'!J93/'Bulk Calculator'!K93*100),"")</f>
        <v>0</v>
      </c>
      <c r="K1075">
        <f>IFERROR(G1075*B1075*'Bulk Calculator'!J93/SQRT('Bulk Calculator'!S93)/1000,"")</f>
        <v>38.370926493896391</v>
      </c>
      <c r="L1075">
        <f>IF(OR('Bulk Calculator'!R93="",'Bulk Calculator'!S93="",G1075=""),0,IF(K1075&gt;='Bulk Calculator'!R93,1,0))</f>
        <v>1</v>
      </c>
      <c r="M1075">
        <f>IF(AND(H1075=1,I1075&lt;='OS-DORAEN'!$B$6,J1075&lt;='OS-DORAEN'!$B$5,L1075=1),1,0)</f>
        <v>1</v>
      </c>
      <c r="N1075" t="str">
        <f t="shared" si="16"/>
        <v>R/X</v>
      </c>
    </row>
    <row r="1076" spans="1:14" ht="15" customHeight="1" x14ac:dyDescent="0.35">
      <c r="A1076">
        <v>93</v>
      </c>
      <c r="B1076">
        <v>95</v>
      </c>
      <c r="C1076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Master'!$F:$F,B1076),"")</f>
        <v>221</v>
      </c>
      <c r="D1076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Master'!$F:$F,B1076),"")</f>
        <v>0.41</v>
      </c>
      <c r="E1076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Master'!$F:$F,B1076),"")</f>
        <v>0.41</v>
      </c>
      <c r="F1076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Master'!$F:$F,B1076),"")</f>
        <v>7.3999999999999996E-2</v>
      </c>
      <c r="G1076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Master'!$F:$F,B1076),"")</f>
        <v>143</v>
      </c>
      <c r="H1076">
        <f>IF(AND(ISNUMBER(C1076),C1076&gt;='Bulk Calculator'!U93/('Bulk Calculator'!J93*'Bulk Calculator'!L93)),1,0)</f>
        <v>1</v>
      </c>
      <c r="I1076">
        <f>IFERROR(IF(AND(ISNUMBER(E1076),ISNUMBER(F1076),E1076&gt;0,F1076&gt;0),SQRT(3)*'Bulk Calculator'!O93*'Bulk Calculator'!AA93*((E1076*'Bulk Calculator'!Q93)+(F1076*SQRT(1-'Bulk Calculator'!Q93^2)))/'Bulk Calculator'!J93/'Bulk Calculator'!K93*100,D1076*'Bulk Calculator'!AA93*'Bulk Calculator'!O93/'Bulk Calculator'!J93/'Bulk Calculator'!K93*100),"")</f>
        <v>0</v>
      </c>
      <c r="J1076">
        <f>IFERROR(IF(AND(ISNUMBER(E1076),ISNUMBER(F1076),E1076&gt;0,F1076&gt;0),SQRT(3)*'Bulk Calculator'!O93*'Bulk Calculator'!U93*((E1076*'Bulk Calculator'!M93)+(F1076*SQRT(1-'Bulk Calculator'!M93^2)))/'Bulk Calculator'!J93/'Bulk Calculator'!K93*100,D1076*'Bulk Calculator'!U93*'Bulk Calculator'!O93/'Bulk Calculator'!J93/'Bulk Calculator'!K93*100),"")</f>
        <v>0</v>
      </c>
      <c r="K1076">
        <f>IFERROR(G1076*B1076*'Bulk Calculator'!J93/SQRT('Bulk Calculator'!S93)/1000,"")</f>
        <v>30.376983474334644</v>
      </c>
      <c r="L1076">
        <f>IF(OR('Bulk Calculator'!R93="",'Bulk Calculator'!S93="",G1076=""),0,IF(K1076&gt;='Bulk Calculator'!R93,1,0))</f>
        <v>1</v>
      </c>
      <c r="M1076">
        <f>IF(AND(H1076=1,I1076&lt;='OS-DORAEN'!$B$6,J1076&lt;='OS-DORAEN'!$B$5,L1076=1),1,0)</f>
        <v>1</v>
      </c>
      <c r="N1076" t="str">
        <f t="shared" si="16"/>
        <v>R/X</v>
      </c>
    </row>
    <row r="1077" spans="1:14" ht="15" customHeight="1" x14ac:dyDescent="0.35">
      <c r="A1077">
        <v>93</v>
      </c>
      <c r="B1077">
        <v>70</v>
      </c>
      <c r="C1077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Master'!$F:$F,B1077),"")</f>
        <v>179</v>
      </c>
      <c r="D1077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Master'!$F:$F,B1077),"")</f>
        <v>0.56699999999999995</v>
      </c>
      <c r="E1077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Master'!$F:$F,B1077),"")</f>
        <v>0.56699999999999995</v>
      </c>
      <c r="F1077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Master'!$F:$F,B1077),"")</f>
        <v>7.6999999999999999E-2</v>
      </c>
      <c r="G1077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Master'!$F:$F,B1077),"")</f>
        <v>143</v>
      </c>
      <c r="H1077">
        <f>IF(AND(ISNUMBER(C1077),C1077&gt;='Bulk Calculator'!U93/('Bulk Calculator'!J93*'Bulk Calculator'!L93)),1,0)</f>
        <v>1</v>
      </c>
      <c r="I1077">
        <f>IFERROR(IF(AND(ISNUMBER(E1077),ISNUMBER(F1077),E1077&gt;0,F1077&gt;0),SQRT(3)*'Bulk Calculator'!O93*'Bulk Calculator'!AA93*((E1077*'Bulk Calculator'!Q93)+(F1077*SQRT(1-'Bulk Calculator'!Q93^2)))/'Bulk Calculator'!J93/'Bulk Calculator'!K93*100,D1077*'Bulk Calculator'!AA93*'Bulk Calculator'!O93/'Bulk Calculator'!J93/'Bulk Calculator'!K93*100),"")</f>
        <v>0</v>
      </c>
      <c r="J1077">
        <f>IFERROR(IF(AND(ISNUMBER(E1077),ISNUMBER(F1077),E1077&gt;0,F1077&gt;0),SQRT(3)*'Bulk Calculator'!O93*'Bulk Calculator'!U93*((E1077*'Bulk Calculator'!M93)+(F1077*SQRT(1-'Bulk Calculator'!M93^2)))/'Bulk Calculator'!J93/'Bulk Calculator'!K93*100,D1077*'Bulk Calculator'!U93*'Bulk Calculator'!O93/'Bulk Calculator'!J93/'Bulk Calculator'!K93*100),"")</f>
        <v>0</v>
      </c>
      <c r="K1077">
        <f>IFERROR(G1077*B1077*'Bulk Calculator'!J93/SQRT('Bulk Calculator'!S93)/1000,"")</f>
        <v>22.383040454772893</v>
      </c>
      <c r="L1077">
        <f>IF(OR('Bulk Calculator'!R93="",'Bulk Calculator'!S93="",G1077=""),0,IF(K1077&gt;='Bulk Calculator'!R93,1,0))</f>
        <v>1</v>
      </c>
      <c r="M1077">
        <f>IF(AND(H1077=1,I1077&lt;='OS-DORAEN'!$B$6,J1077&lt;='OS-DORAEN'!$B$5,L1077=1),1,0)</f>
        <v>1</v>
      </c>
      <c r="N1077" t="str">
        <f t="shared" si="16"/>
        <v>R/X</v>
      </c>
    </row>
    <row r="1078" spans="1:14" ht="15" customHeight="1" x14ac:dyDescent="0.35">
      <c r="A1078">
        <v>93</v>
      </c>
      <c r="B1078">
        <v>50</v>
      </c>
      <c r="C1078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Master'!$F:$F,B1078),"")</f>
        <v>142</v>
      </c>
      <c r="D1078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Master'!$F:$F,B1078),"")</f>
        <v>0.82</v>
      </c>
      <c r="E1078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Master'!$F:$F,B1078),"")</f>
        <v>0.82</v>
      </c>
      <c r="F1078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Master'!$F:$F,B1078),"")</f>
        <v>7.8E-2</v>
      </c>
      <c r="G1078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Master'!$F:$F,B1078),"")</f>
        <v>143</v>
      </c>
      <c r="H1078">
        <f>IF(AND(ISNUMBER(C1078),C1078&gt;='Bulk Calculator'!U93/('Bulk Calculator'!J93*'Bulk Calculator'!L93)),1,0)</f>
        <v>1</v>
      </c>
      <c r="I1078">
        <f>IFERROR(IF(AND(ISNUMBER(E1078),ISNUMBER(F1078),E1078&gt;0,F1078&gt;0),SQRT(3)*'Bulk Calculator'!O93*'Bulk Calculator'!AA93*((E1078*'Bulk Calculator'!Q93)+(F1078*SQRT(1-'Bulk Calculator'!Q93^2)))/'Bulk Calculator'!J93/'Bulk Calculator'!K93*100,D1078*'Bulk Calculator'!AA93*'Bulk Calculator'!O93/'Bulk Calculator'!J93/'Bulk Calculator'!K93*100),"")</f>
        <v>0</v>
      </c>
      <c r="J1078">
        <f>IFERROR(IF(AND(ISNUMBER(E1078),ISNUMBER(F1078),E1078&gt;0,F1078&gt;0),SQRT(3)*'Bulk Calculator'!O93*'Bulk Calculator'!U93*((E1078*'Bulk Calculator'!M93)+(F1078*SQRT(1-'Bulk Calculator'!M93^2)))/'Bulk Calculator'!J93/'Bulk Calculator'!K93*100,D1078*'Bulk Calculator'!U93*'Bulk Calculator'!O93/'Bulk Calculator'!J93/'Bulk Calculator'!K93*100),"")</f>
        <v>0</v>
      </c>
      <c r="K1078">
        <f>IFERROR(G1078*B1078*'Bulk Calculator'!J93/SQRT('Bulk Calculator'!S93)/1000,"")</f>
        <v>15.987886039123497</v>
      </c>
      <c r="L1078">
        <f>IF(OR('Bulk Calculator'!R93="",'Bulk Calculator'!S93="",G1078=""),0,IF(K1078&gt;='Bulk Calculator'!R93,1,0))</f>
        <v>1</v>
      </c>
      <c r="M1078">
        <f>IF(AND(H1078=1,I1078&lt;='OS-DORAEN'!$B$6,J1078&lt;='OS-DORAEN'!$B$5,L1078=1),1,0)</f>
        <v>1</v>
      </c>
      <c r="N1078" t="str">
        <f t="shared" si="16"/>
        <v>R/X</v>
      </c>
    </row>
    <row r="1079" spans="1:14" ht="15" customHeight="1" x14ac:dyDescent="0.35">
      <c r="A1079">
        <v>93</v>
      </c>
      <c r="B1079">
        <v>35</v>
      </c>
      <c r="C1079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Master'!$F:$F,B1079),"")</f>
        <v>117</v>
      </c>
      <c r="D1079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Master'!$F:$F,B1079),"")</f>
        <v>1.1100000000000001</v>
      </c>
      <c r="E1079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Master'!$F:$F,B1079),"")</f>
        <v>1.1100000000000001</v>
      </c>
      <c r="F1079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Master'!$F:$F,B1079),"")</f>
        <v>0.08</v>
      </c>
      <c r="G1079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Master'!$F:$F,B1079),"")</f>
        <v>143</v>
      </c>
      <c r="H1079">
        <f>IF(AND(ISNUMBER(C1079),C1079&gt;='Bulk Calculator'!U93/('Bulk Calculator'!J93*'Bulk Calculator'!L93)),1,0)</f>
        <v>1</v>
      </c>
      <c r="I1079">
        <f>IFERROR(IF(AND(ISNUMBER(E1079),ISNUMBER(F1079),E1079&gt;0,F1079&gt;0),SQRT(3)*'Bulk Calculator'!O93*'Bulk Calculator'!AA93*((E1079*'Bulk Calculator'!Q93)+(F1079*SQRT(1-'Bulk Calculator'!Q93^2)))/'Bulk Calculator'!J93/'Bulk Calculator'!K93*100,D1079*'Bulk Calculator'!AA93*'Bulk Calculator'!O93/'Bulk Calculator'!J93/'Bulk Calculator'!K93*100),"")</f>
        <v>0</v>
      </c>
      <c r="J1079">
        <f>IFERROR(IF(AND(ISNUMBER(E1079),ISNUMBER(F1079),E1079&gt;0,F1079&gt;0),SQRT(3)*'Bulk Calculator'!O93*'Bulk Calculator'!U93*((E1079*'Bulk Calculator'!M93)+(F1079*SQRT(1-'Bulk Calculator'!M93^2)))/'Bulk Calculator'!J93/'Bulk Calculator'!K93*100,D1079*'Bulk Calculator'!U93*'Bulk Calculator'!O93/'Bulk Calculator'!J93/'Bulk Calculator'!K93*100),"")</f>
        <v>0</v>
      </c>
      <c r="K1079">
        <f>IFERROR(G1079*B1079*'Bulk Calculator'!J93/SQRT('Bulk Calculator'!S93)/1000,"")</f>
        <v>11.191520227386446</v>
      </c>
      <c r="L1079">
        <f>IF(OR('Bulk Calculator'!R93="",'Bulk Calculator'!S93="",G1079=""),0,IF(K1079&gt;='Bulk Calculator'!R93,1,0))</f>
        <v>1</v>
      </c>
      <c r="M1079">
        <f>IF(AND(H1079=1,I1079&lt;='OS-DORAEN'!$B$6,J1079&lt;='OS-DORAEN'!$B$5,L1079=1),1,0)</f>
        <v>1</v>
      </c>
      <c r="N1079" t="str">
        <f t="shared" si="16"/>
        <v>R/X</v>
      </c>
    </row>
    <row r="1080" spans="1:14" ht="15" customHeight="1" x14ac:dyDescent="0.35">
      <c r="A1080">
        <v>93</v>
      </c>
      <c r="B1080">
        <v>25</v>
      </c>
      <c r="C1080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Master'!$F:$F,B1080),"")</f>
        <v>96</v>
      </c>
      <c r="D1080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Master'!$F:$F,B1080),"")</f>
        <v>1.54</v>
      </c>
      <c r="E1080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Master'!$F:$F,B1080),"")</f>
        <v>1.54</v>
      </c>
      <c r="F1080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Master'!$F:$F,B1080),"")</f>
        <v>0.08</v>
      </c>
      <c r="G1080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Master'!$F:$F,B1080),"")</f>
        <v>143</v>
      </c>
      <c r="H1080">
        <f>IF(AND(ISNUMBER(C1080),C1080&gt;='Bulk Calculator'!U93/('Bulk Calculator'!J93*'Bulk Calculator'!L93)),1,0)</f>
        <v>1</v>
      </c>
      <c r="I1080">
        <f>IFERROR(IF(AND(ISNUMBER(E1080),ISNUMBER(F1080),E1080&gt;0,F1080&gt;0),SQRT(3)*'Bulk Calculator'!O93*'Bulk Calculator'!AA93*((E1080*'Bulk Calculator'!Q93)+(F1080*SQRT(1-'Bulk Calculator'!Q93^2)))/'Bulk Calculator'!J93/'Bulk Calculator'!K93*100,D1080*'Bulk Calculator'!AA93*'Bulk Calculator'!O93/'Bulk Calculator'!J93/'Bulk Calculator'!K93*100),"")</f>
        <v>0</v>
      </c>
      <c r="J1080">
        <f>IFERROR(IF(AND(ISNUMBER(E1080),ISNUMBER(F1080),E1080&gt;0,F1080&gt;0),SQRT(3)*'Bulk Calculator'!O93*'Bulk Calculator'!U93*((E1080*'Bulk Calculator'!M93)+(F1080*SQRT(1-'Bulk Calculator'!M93^2)))/'Bulk Calculator'!J93/'Bulk Calculator'!K93*100,D1080*'Bulk Calculator'!U93*'Bulk Calculator'!O93/'Bulk Calculator'!J93/'Bulk Calculator'!K93*100),"")</f>
        <v>0</v>
      </c>
      <c r="K1080">
        <f>IFERROR(G1080*B1080*'Bulk Calculator'!J93/SQRT('Bulk Calculator'!S93)/1000,"")</f>
        <v>7.9939430195617485</v>
      </c>
      <c r="L1080">
        <f>IF(OR('Bulk Calculator'!R93="",'Bulk Calculator'!S93="",G1080=""),0,IF(K1080&gt;='Bulk Calculator'!R93,1,0))</f>
        <v>1</v>
      </c>
      <c r="M1080">
        <f>IF(AND(H1080=1,I1080&lt;='OS-DORAEN'!$B$6,J1080&lt;='OS-DORAEN'!$B$5,L1080=1),1,0)</f>
        <v>1</v>
      </c>
      <c r="N1080" t="str">
        <f t="shared" si="16"/>
        <v>R/X</v>
      </c>
    </row>
    <row r="1081" spans="1:14" ht="15" customHeight="1" x14ac:dyDescent="0.35">
      <c r="A1081">
        <v>93</v>
      </c>
      <c r="B1081">
        <v>16</v>
      </c>
      <c r="C1081">
        <f>IFERROR(SUMIFS('Cable Data Master'!$G:$G,'Cable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Master'!$F:$F,B1081),"")</f>
        <v>0</v>
      </c>
      <c r="D1081">
        <f>IFERROR(SUMIFS('Cable Data Master'!$K:$K,'Cable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Master'!$F:$F,B1081),"")</f>
        <v>0</v>
      </c>
      <c r="E1081">
        <f>IFERROR(SUMIFS('Cable Data Master'!$H:$H,'Cable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Master'!$F:$F,B1081),"")</f>
        <v>0</v>
      </c>
      <c r="F1081">
        <f>IFERROR(SUMIFS('Cable Data Master'!$I:$I,'Cable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Master'!$F:$F,B1081),"")</f>
        <v>0</v>
      </c>
      <c r="G1081">
        <f>IFERROR(SUMIFS('Cable Data Master'!$J:$J,'Cable Data Master'!$A:$A,'Bulk Calculator'!$BF93,'Cable Data Master'!$B:$B,'Bulk Calculator'!$BG93,'Cable Data Master'!$C:$C,'Bulk Calculator'!$BH93,'Cable Data Master'!$D:$D,'Bulk Calculator'!$BI93,'Cable Data Master'!$E:$E,'Bulk Calculator'!$BJ93,'Cable Data Master'!$F:$F,B1081),"")</f>
        <v>0</v>
      </c>
      <c r="H1081">
        <f>IF(AND(ISNUMBER(C1081),C1081&gt;='Bulk Calculator'!U93/('Bulk Calculator'!J93*'Bulk Calculator'!L93)),1,0)</f>
        <v>1</v>
      </c>
      <c r="I1081">
        <f>IFERROR(IF(AND(ISNUMBER(E1081),ISNUMBER(F1081),E1081&gt;0,F1081&gt;0),SQRT(3)*'Bulk Calculator'!O93*'Bulk Calculator'!AA93*((E1081*'Bulk Calculator'!Q93)+(F1081*SQRT(1-'Bulk Calculator'!Q93^2)))/'Bulk Calculator'!J93/'Bulk Calculator'!K93*100,D1081*'Bulk Calculator'!AA93*'Bulk Calculator'!O93/'Bulk Calculator'!J93/'Bulk Calculator'!K93*100),"")</f>
        <v>0</v>
      </c>
      <c r="J1081">
        <f>IFERROR(IF(AND(ISNUMBER(E1081),ISNUMBER(F1081),E1081&gt;0,F1081&gt;0),SQRT(3)*'Bulk Calculator'!O93*'Bulk Calculator'!U93*((E1081*'Bulk Calculator'!M93)+(F1081*SQRT(1-'Bulk Calculator'!M93^2)))/'Bulk Calculator'!J93/'Bulk Calculator'!K93*100,D1081*'Bulk Calculator'!U93*'Bulk Calculator'!O93/'Bulk Calculator'!J93/'Bulk Calculator'!K93*100),"")</f>
        <v>0</v>
      </c>
      <c r="K1081">
        <f>IFERROR(G1081*B1081*'Bulk Calculator'!J93/SQRT('Bulk Calculator'!S93)/1000,"")</f>
        <v>0</v>
      </c>
      <c r="L1081">
        <f>IF(OR('Bulk Calculator'!R93="",'Bulk Calculator'!S93="",G1081=""),0,IF(K1081&gt;='Bulk Calculator'!R93,1,0))</f>
        <v>1</v>
      </c>
      <c r="M1081">
        <f>IF(AND(H1081=1,I1081&lt;='OS-DORAEN'!$B$6,J1081&lt;='OS-DORAEN'!$B$5,L1081=1),1,0)</f>
        <v>1</v>
      </c>
      <c r="N1081" t="str">
        <f t="shared" si="16"/>
        <v>Manufacturer VD Ref</v>
      </c>
    </row>
    <row r="1082" spans="1:14" ht="15" customHeight="1" x14ac:dyDescent="0.35">
      <c r="A1082">
        <v>94</v>
      </c>
      <c r="B1082">
        <v>400</v>
      </c>
      <c r="C1082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Master'!$F:$F,B1082),"")</f>
        <v>530</v>
      </c>
      <c r="D1082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Master'!$F:$F,B1082),"")</f>
        <v>0.1023</v>
      </c>
      <c r="E1082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Master'!$F:$F,B1082),"")</f>
        <v>0.1023</v>
      </c>
      <c r="F1082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Master'!$F:$F,B1082),"")</f>
        <v>7.0000000000000007E-2</v>
      </c>
      <c r="G1082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Master'!$F:$F,B1082),"")</f>
        <v>143</v>
      </c>
      <c r="H1082">
        <f>IF(AND(ISNUMBER(C1082),C1082&gt;='Bulk Calculator'!U94/('Bulk Calculator'!J94*'Bulk Calculator'!L94)),1,0)</f>
        <v>1</v>
      </c>
      <c r="I1082">
        <f>IFERROR(IF(AND(ISNUMBER(E1082),ISNUMBER(F1082),E1082&gt;0,F1082&gt;0),SQRT(3)*'Bulk Calculator'!O94*'Bulk Calculator'!AA94*((E1082*'Bulk Calculator'!Q94)+(F1082*SQRT(1-'Bulk Calculator'!Q94^2)))/'Bulk Calculator'!J94/'Bulk Calculator'!K94*100,D1082*'Bulk Calculator'!AA94*'Bulk Calculator'!O94/'Bulk Calculator'!J94/'Bulk Calculator'!K94*100),"")</f>
        <v>0</v>
      </c>
      <c r="J1082">
        <f>IFERROR(IF(AND(ISNUMBER(E1082),ISNUMBER(F1082),E1082&gt;0,F1082&gt;0),SQRT(3)*'Bulk Calculator'!O94*'Bulk Calculator'!U94*((E1082*'Bulk Calculator'!M94)+(F1082*SQRT(1-'Bulk Calculator'!M94^2)))/'Bulk Calculator'!J94/'Bulk Calculator'!K94*100,D1082*'Bulk Calculator'!U94*'Bulk Calculator'!O94/'Bulk Calculator'!J94/'Bulk Calculator'!K94*100),"")</f>
        <v>0</v>
      </c>
      <c r="K1082">
        <f>IFERROR(G1082*B1082*'Bulk Calculator'!J94/SQRT('Bulk Calculator'!S94)/1000,"")</f>
        <v>127.90308831298798</v>
      </c>
      <c r="L1082">
        <f>IF(OR('Bulk Calculator'!R94="",'Bulk Calculator'!S94="",G1082=""),0,IF(K1082&gt;='Bulk Calculator'!R94,1,0))</f>
        <v>1</v>
      </c>
      <c r="M1082">
        <f>IF(AND(H1082=1,I1082&lt;='OS-DORAEN'!$B$6,J1082&lt;='OS-DORAEN'!$B$5,L1082=1),1,0)</f>
        <v>1</v>
      </c>
      <c r="N1082" t="str">
        <f t="shared" si="16"/>
        <v>R/X</v>
      </c>
    </row>
    <row r="1083" spans="1:14" ht="15" customHeight="1" x14ac:dyDescent="0.35">
      <c r="A1083">
        <v>94</v>
      </c>
      <c r="B1083">
        <v>300</v>
      </c>
      <c r="C1083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Master'!$F:$F,B1083),"")</f>
        <v>455</v>
      </c>
      <c r="D1083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Master'!$F:$F,B1083),"")</f>
        <v>0.13</v>
      </c>
      <c r="E1083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Master'!$F:$F,B1083),"")</f>
        <v>0.13</v>
      </c>
      <c r="F1083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Master'!$F:$F,B1083),"")</f>
        <v>7.0999999999999994E-2</v>
      </c>
      <c r="G1083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Master'!$F:$F,B1083),"")</f>
        <v>143</v>
      </c>
      <c r="H1083">
        <f>IF(AND(ISNUMBER(C1083),C1083&gt;='Bulk Calculator'!U94/('Bulk Calculator'!J94*'Bulk Calculator'!L94)),1,0)</f>
        <v>1</v>
      </c>
      <c r="I1083">
        <f>IFERROR(IF(AND(ISNUMBER(E1083),ISNUMBER(F1083),E1083&gt;0,F1083&gt;0),SQRT(3)*'Bulk Calculator'!O94*'Bulk Calculator'!AA94*((E1083*'Bulk Calculator'!Q94)+(F1083*SQRT(1-'Bulk Calculator'!Q94^2)))/'Bulk Calculator'!J94/'Bulk Calculator'!K94*100,D1083*'Bulk Calculator'!AA94*'Bulk Calculator'!O94/'Bulk Calculator'!J94/'Bulk Calculator'!K94*100),"")</f>
        <v>0</v>
      </c>
      <c r="J1083">
        <f>IFERROR(IF(AND(ISNUMBER(E1083),ISNUMBER(F1083),E1083&gt;0,F1083&gt;0),SQRT(3)*'Bulk Calculator'!O94*'Bulk Calculator'!U94*((E1083*'Bulk Calculator'!M94)+(F1083*SQRT(1-'Bulk Calculator'!M94^2)))/'Bulk Calculator'!J94/'Bulk Calculator'!K94*100,D1083*'Bulk Calculator'!U94*'Bulk Calculator'!O94/'Bulk Calculator'!J94/'Bulk Calculator'!K94*100),"")</f>
        <v>0</v>
      </c>
      <c r="K1083">
        <f>IFERROR(G1083*B1083*'Bulk Calculator'!J94/SQRT('Bulk Calculator'!S94)/1000,"")</f>
        <v>95.927316234740985</v>
      </c>
      <c r="L1083">
        <f>IF(OR('Bulk Calculator'!R94="",'Bulk Calculator'!S94="",G1083=""),0,IF(K1083&gt;='Bulk Calculator'!R94,1,0))</f>
        <v>1</v>
      </c>
      <c r="M1083">
        <f>IF(AND(H1083=1,I1083&lt;='OS-DORAEN'!$B$6,J1083&lt;='OS-DORAEN'!$B$5,L1083=1),1,0)</f>
        <v>1</v>
      </c>
      <c r="N1083" t="str">
        <f t="shared" si="16"/>
        <v>R/X</v>
      </c>
    </row>
    <row r="1084" spans="1:14" ht="15" customHeight="1" x14ac:dyDescent="0.35">
      <c r="A1084">
        <v>94</v>
      </c>
      <c r="B1084">
        <v>240</v>
      </c>
      <c r="C1084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Master'!$F:$F,B1084),"")</f>
        <v>399</v>
      </c>
      <c r="D1084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Master'!$F:$F,B1084),"")</f>
        <v>0.16200000000000001</v>
      </c>
      <c r="E1084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Master'!$F:$F,B1084),"")</f>
        <v>0.16200000000000001</v>
      </c>
      <c r="F1084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Master'!$F:$F,B1084),"")</f>
        <v>7.1999999999999995E-2</v>
      </c>
      <c r="G1084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Master'!$F:$F,B1084),"")</f>
        <v>143</v>
      </c>
      <c r="H1084">
        <f>IF(AND(ISNUMBER(C1084),C1084&gt;='Bulk Calculator'!U94/('Bulk Calculator'!J94*'Bulk Calculator'!L94)),1,0)</f>
        <v>1</v>
      </c>
      <c r="I1084">
        <f>IFERROR(IF(AND(ISNUMBER(E1084),ISNUMBER(F1084),E1084&gt;0,F1084&gt;0),SQRT(3)*'Bulk Calculator'!O94*'Bulk Calculator'!AA94*((E1084*'Bulk Calculator'!Q94)+(F1084*SQRT(1-'Bulk Calculator'!Q94^2)))/'Bulk Calculator'!J94/'Bulk Calculator'!K94*100,D1084*'Bulk Calculator'!AA94*'Bulk Calculator'!O94/'Bulk Calculator'!J94/'Bulk Calculator'!K94*100),"")</f>
        <v>0</v>
      </c>
      <c r="J1084">
        <f>IFERROR(IF(AND(ISNUMBER(E1084),ISNUMBER(F1084),E1084&gt;0,F1084&gt;0),SQRT(3)*'Bulk Calculator'!O94*'Bulk Calculator'!U94*((E1084*'Bulk Calculator'!M94)+(F1084*SQRT(1-'Bulk Calculator'!M94^2)))/'Bulk Calculator'!J94/'Bulk Calculator'!K94*100,D1084*'Bulk Calculator'!U94*'Bulk Calculator'!O94/'Bulk Calculator'!J94/'Bulk Calculator'!K94*100),"")</f>
        <v>0</v>
      </c>
      <c r="K1084">
        <f>IFERROR(G1084*B1084*'Bulk Calculator'!J94/SQRT('Bulk Calculator'!S94)/1000,"")</f>
        <v>76.741852987792782</v>
      </c>
      <c r="L1084">
        <f>IF(OR('Bulk Calculator'!R94="",'Bulk Calculator'!S94="",G1084=""),0,IF(K1084&gt;='Bulk Calculator'!R94,1,0))</f>
        <v>1</v>
      </c>
      <c r="M1084">
        <f>IF(AND(H1084=1,I1084&lt;='OS-DORAEN'!$B$6,J1084&lt;='OS-DORAEN'!$B$5,L1084=1),1,0)</f>
        <v>1</v>
      </c>
      <c r="N1084" t="str">
        <f t="shared" si="16"/>
        <v>R/X</v>
      </c>
    </row>
    <row r="1085" spans="1:14" ht="15" customHeight="1" x14ac:dyDescent="0.35">
      <c r="A1085">
        <v>94</v>
      </c>
      <c r="B1085">
        <v>185</v>
      </c>
      <c r="C1085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Master'!$F:$F,B1085),"")</f>
        <v>337</v>
      </c>
      <c r="D1085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Master'!$F:$F,B1085),"")</f>
        <v>0.21099999999999999</v>
      </c>
      <c r="E1085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Master'!$F:$F,B1085),"")</f>
        <v>0.21099999999999999</v>
      </c>
      <c r="F1085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Master'!$F:$F,B1085),"")</f>
        <v>7.1999999999999995E-2</v>
      </c>
      <c r="G1085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Master'!$F:$F,B1085),"")</f>
        <v>143</v>
      </c>
      <c r="H1085">
        <f>IF(AND(ISNUMBER(C1085),C1085&gt;='Bulk Calculator'!U94/('Bulk Calculator'!J94*'Bulk Calculator'!L94)),1,0)</f>
        <v>1</v>
      </c>
      <c r="I1085">
        <f>IFERROR(IF(AND(ISNUMBER(E1085),ISNUMBER(F1085),E1085&gt;0,F1085&gt;0),SQRT(3)*'Bulk Calculator'!O94*'Bulk Calculator'!AA94*((E1085*'Bulk Calculator'!Q94)+(F1085*SQRT(1-'Bulk Calculator'!Q94^2)))/'Bulk Calculator'!J94/'Bulk Calculator'!K94*100,D1085*'Bulk Calculator'!AA94*'Bulk Calculator'!O94/'Bulk Calculator'!J94/'Bulk Calculator'!K94*100),"")</f>
        <v>0</v>
      </c>
      <c r="J1085">
        <f>IFERROR(IF(AND(ISNUMBER(E1085),ISNUMBER(F1085),E1085&gt;0,F1085&gt;0),SQRT(3)*'Bulk Calculator'!O94*'Bulk Calculator'!U94*((E1085*'Bulk Calculator'!M94)+(F1085*SQRT(1-'Bulk Calculator'!M94^2)))/'Bulk Calculator'!J94/'Bulk Calculator'!K94*100,D1085*'Bulk Calculator'!U94*'Bulk Calculator'!O94/'Bulk Calculator'!J94/'Bulk Calculator'!K94*100),"")</f>
        <v>0</v>
      </c>
      <c r="K1085">
        <f>IFERROR(G1085*B1085*'Bulk Calculator'!J94/SQRT('Bulk Calculator'!S94)/1000,"")</f>
        <v>59.155178344756941</v>
      </c>
      <c r="L1085">
        <f>IF(OR('Bulk Calculator'!R94="",'Bulk Calculator'!S94="",G1085=""),0,IF(K1085&gt;='Bulk Calculator'!R94,1,0))</f>
        <v>1</v>
      </c>
      <c r="M1085">
        <f>IF(AND(H1085=1,I1085&lt;='OS-DORAEN'!$B$6,J1085&lt;='OS-DORAEN'!$B$5,L1085=1),1,0)</f>
        <v>1</v>
      </c>
      <c r="N1085" t="str">
        <f t="shared" si="16"/>
        <v>R/X</v>
      </c>
    </row>
    <row r="1086" spans="1:14" ht="15" customHeight="1" x14ac:dyDescent="0.35">
      <c r="A1086">
        <v>94</v>
      </c>
      <c r="B1086">
        <v>150</v>
      </c>
      <c r="C1086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Master'!$F:$F,B1086),"")</f>
        <v>292</v>
      </c>
      <c r="D1086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Master'!$F:$F,B1086),"")</f>
        <v>0.26500000000000001</v>
      </c>
      <c r="E1086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Master'!$F:$F,B1086),"")</f>
        <v>0.26500000000000001</v>
      </c>
      <c r="F1086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Master'!$F:$F,B1086),"")</f>
        <v>7.1999999999999995E-2</v>
      </c>
      <c r="G1086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Master'!$F:$F,B1086),"")</f>
        <v>143</v>
      </c>
      <c r="H1086">
        <f>IF(AND(ISNUMBER(C1086),C1086&gt;='Bulk Calculator'!U94/('Bulk Calculator'!J94*'Bulk Calculator'!L94)),1,0)</f>
        <v>1</v>
      </c>
      <c r="I1086">
        <f>IFERROR(IF(AND(ISNUMBER(E1086),ISNUMBER(F1086),E1086&gt;0,F1086&gt;0),SQRT(3)*'Bulk Calculator'!O94*'Bulk Calculator'!AA94*((E1086*'Bulk Calculator'!Q94)+(F1086*SQRT(1-'Bulk Calculator'!Q94^2)))/'Bulk Calculator'!J94/'Bulk Calculator'!K94*100,D1086*'Bulk Calculator'!AA94*'Bulk Calculator'!O94/'Bulk Calculator'!J94/'Bulk Calculator'!K94*100),"")</f>
        <v>0</v>
      </c>
      <c r="J1086">
        <f>IFERROR(IF(AND(ISNUMBER(E1086),ISNUMBER(F1086),E1086&gt;0,F1086&gt;0),SQRT(3)*'Bulk Calculator'!O94*'Bulk Calculator'!U94*((E1086*'Bulk Calculator'!M94)+(F1086*SQRT(1-'Bulk Calculator'!M94^2)))/'Bulk Calculator'!J94/'Bulk Calculator'!K94*100,D1086*'Bulk Calculator'!U94*'Bulk Calculator'!O94/'Bulk Calculator'!J94/'Bulk Calculator'!K94*100),"")</f>
        <v>0</v>
      </c>
      <c r="K1086">
        <f>IFERROR(G1086*B1086*'Bulk Calculator'!J94/SQRT('Bulk Calculator'!S94)/1000,"")</f>
        <v>47.963658117370493</v>
      </c>
      <c r="L1086">
        <f>IF(OR('Bulk Calculator'!R94="",'Bulk Calculator'!S94="",G1086=""),0,IF(K1086&gt;='Bulk Calculator'!R94,1,0))</f>
        <v>1</v>
      </c>
      <c r="M1086">
        <f>IF(AND(H1086=1,I1086&lt;='OS-DORAEN'!$B$6,J1086&lt;='OS-DORAEN'!$B$5,L1086=1),1,0)</f>
        <v>1</v>
      </c>
      <c r="N1086" t="str">
        <f t="shared" si="16"/>
        <v>R/X</v>
      </c>
    </row>
    <row r="1087" spans="1:14" ht="15" customHeight="1" x14ac:dyDescent="0.35">
      <c r="A1087">
        <v>94</v>
      </c>
      <c r="B1087">
        <v>120</v>
      </c>
      <c r="C1087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Master'!$F:$F,B1087),"")</f>
        <v>257</v>
      </c>
      <c r="D1087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Master'!$F:$F,B1087),"")</f>
        <v>0.32500000000000001</v>
      </c>
      <c r="E1087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Master'!$F:$F,B1087),"")</f>
        <v>0.32500000000000001</v>
      </c>
      <c r="F1087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Master'!$F:$F,B1087),"")</f>
        <v>7.1999999999999995E-2</v>
      </c>
      <c r="G1087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Master'!$F:$F,B1087),"")</f>
        <v>143</v>
      </c>
      <c r="H1087">
        <f>IF(AND(ISNUMBER(C1087),C1087&gt;='Bulk Calculator'!U94/('Bulk Calculator'!J94*'Bulk Calculator'!L94)),1,0)</f>
        <v>1</v>
      </c>
      <c r="I1087">
        <f>IFERROR(IF(AND(ISNUMBER(E1087),ISNUMBER(F1087),E1087&gt;0,F1087&gt;0),SQRT(3)*'Bulk Calculator'!O94*'Bulk Calculator'!AA94*((E1087*'Bulk Calculator'!Q94)+(F1087*SQRT(1-'Bulk Calculator'!Q94^2)))/'Bulk Calculator'!J94/'Bulk Calculator'!K94*100,D1087*'Bulk Calculator'!AA94*'Bulk Calculator'!O94/'Bulk Calculator'!J94/'Bulk Calculator'!K94*100),"")</f>
        <v>0</v>
      </c>
      <c r="J1087">
        <f>IFERROR(IF(AND(ISNUMBER(E1087),ISNUMBER(F1087),E1087&gt;0,F1087&gt;0),SQRT(3)*'Bulk Calculator'!O94*'Bulk Calculator'!U94*((E1087*'Bulk Calculator'!M94)+(F1087*SQRT(1-'Bulk Calculator'!M94^2)))/'Bulk Calculator'!J94/'Bulk Calculator'!K94*100,D1087*'Bulk Calculator'!U94*'Bulk Calculator'!O94/'Bulk Calculator'!J94/'Bulk Calculator'!K94*100),"")</f>
        <v>0</v>
      </c>
      <c r="K1087">
        <f>IFERROR(G1087*B1087*'Bulk Calculator'!J94/SQRT('Bulk Calculator'!S94)/1000,"")</f>
        <v>38.370926493896391</v>
      </c>
      <c r="L1087">
        <f>IF(OR('Bulk Calculator'!R94="",'Bulk Calculator'!S94="",G1087=""),0,IF(K1087&gt;='Bulk Calculator'!R94,1,0))</f>
        <v>1</v>
      </c>
      <c r="M1087">
        <f>IF(AND(H1087=1,I1087&lt;='OS-DORAEN'!$B$6,J1087&lt;='OS-DORAEN'!$B$5,L1087=1),1,0)</f>
        <v>1</v>
      </c>
      <c r="N1087" t="str">
        <f t="shared" si="16"/>
        <v>R/X</v>
      </c>
    </row>
    <row r="1088" spans="1:14" ht="15" customHeight="1" x14ac:dyDescent="0.35">
      <c r="A1088">
        <v>94</v>
      </c>
      <c r="B1088">
        <v>95</v>
      </c>
      <c r="C1088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Master'!$F:$F,B1088),"")</f>
        <v>221</v>
      </c>
      <c r="D1088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Master'!$F:$F,B1088),"")</f>
        <v>0.41</v>
      </c>
      <c r="E1088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Master'!$F:$F,B1088),"")</f>
        <v>0.41</v>
      </c>
      <c r="F1088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Master'!$F:$F,B1088),"")</f>
        <v>7.3999999999999996E-2</v>
      </c>
      <c r="G1088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Master'!$F:$F,B1088),"")</f>
        <v>143</v>
      </c>
      <c r="H1088">
        <f>IF(AND(ISNUMBER(C1088),C1088&gt;='Bulk Calculator'!U94/('Bulk Calculator'!J94*'Bulk Calculator'!L94)),1,0)</f>
        <v>1</v>
      </c>
      <c r="I1088">
        <f>IFERROR(IF(AND(ISNUMBER(E1088),ISNUMBER(F1088),E1088&gt;0,F1088&gt;0),SQRT(3)*'Bulk Calculator'!O94*'Bulk Calculator'!AA94*((E1088*'Bulk Calculator'!Q94)+(F1088*SQRT(1-'Bulk Calculator'!Q94^2)))/'Bulk Calculator'!J94/'Bulk Calculator'!K94*100,D1088*'Bulk Calculator'!AA94*'Bulk Calculator'!O94/'Bulk Calculator'!J94/'Bulk Calculator'!K94*100),"")</f>
        <v>0</v>
      </c>
      <c r="J1088">
        <f>IFERROR(IF(AND(ISNUMBER(E1088),ISNUMBER(F1088),E1088&gt;0,F1088&gt;0),SQRT(3)*'Bulk Calculator'!O94*'Bulk Calculator'!U94*((E1088*'Bulk Calculator'!M94)+(F1088*SQRT(1-'Bulk Calculator'!M94^2)))/'Bulk Calculator'!J94/'Bulk Calculator'!K94*100,D1088*'Bulk Calculator'!U94*'Bulk Calculator'!O94/'Bulk Calculator'!J94/'Bulk Calculator'!K94*100),"")</f>
        <v>0</v>
      </c>
      <c r="K1088">
        <f>IFERROR(G1088*B1088*'Bulk Calculator'!J94/SQRT('Bulk Calculator'!S94)/1000,"")</f>
        <v>30.376983474334644</v>
      </c>
      <c r="L1088">
        <f>IF(OR('Bulk Calculator'!R94="",'Bulk Calculator'!S94="",G1088=""),0,IF(K1088&gt;='Bulk Calculator'!R94,1,0))</f>
        <v>1</v>
      </c>
      <c r="M1088">
        <f>IF(AND(H1088=1,I1088&lt;='OS-DORAEN'!$B$6,J1088&lt;='OS-DORAEN'!$B$5,L1088=1),1,0)</f>
        <v>1</v>
      </c>
      <c r="N1088" t="str">
        <f t="shared" si="16"/>
        <v>R/X</v>
      </c>
    </row>
    <row r="1089" spans="1:14" ht="15" customHeight="1" x14ac:dyDescent="0.35">
      <c r="A1089">
        <v>94</v>
      </c>
      <c r="B1089">
        <v>70</v>
      </c>
      <c r="C1089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Master'!$F:$F,B1089),"")</f>
        <v>179</v>
      </c>
      <c r="D1089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Master'!$F:$F,B1089),"")</f>
        <v>0.56699999999999995</v>
      </c>
      <c r="E1089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Master'!$F:$F,B1089),"")</f>
        <v>0.56699999999999995</v>
      </c>
      <c r="F1089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Master'!$F:$F,B1089),"")</f>
        <v>7.6999999999999999E-2</v>
      </c>
      <c r="G1089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Master'!$F:$F,B1089),"")</f>
        <v>143</v>
      </c>
      <c r="H1089">
        <f>IF(AND(ISNUMBER(C1089),C1089&gt;='Bulk Calculator'!U94/('Bulk Calculator'!J94*'Bulk Calculator'!L94)),1,0)</f>
        <v>1</v>
      </c>
      <c r="I1089">
        <f>IFERROR(IF(AND(ISNUMBER(E1089),ISNUMBER(F1089),E1089&gt;0,F1089&gt;0),SQRT(3)*'Bulk Calculator'!O94*'Bulk Calculator'!AA94*((E1089*'Bulk Calculator'!Q94)+(F1089*SQRT(1-'Bulk Calculator'!Q94^2)))/'Bulk Calculator'!J94/'Bulk Calculator'!K94*100,D1089*'Bulk Calculator'!AA94*'Bulk Calculator'!O94/'Bulk Calculator'!J94/'Bulk Calculator'!K94*100),"")</f>
        <v>0</v>
      </c>
      <c r="J1089">
        <f>IFERROR(IF(AND(ISNUMBER(E1089),ISNUMBER(F1089),E1089&gt;0,F1089&gt;0),SQRT(3)*'Bulk Calculator'!O94*'Bulk Calculator'!U94*((E1089*'Bulk Calculator'!M94)+(F1089*SQRT(1-'Bulk Calculator'!M94^2)))/'Bulk Calculator'!J94/'Bulk Calculator'!K94*100,D1089*'Bulk Calculator'!U94*'Bulk Calculator'!O94/'Bulk Calculator'!J94/'Bulk Calculator'!K94*100),"")</f>
        <v>0</v>
      </c>
      <c r="K1089">
        <f>IFERROR(G1089*B1089*'Bulk Calculator'!J94/SQRT('Bulk Calculator'!S94)/1000,"")</f>
        <v>22.383040454772893</v>
      </c>
      <c r="L1089">
        <f>IF(OR('Bulk Calculator'!R94="",'Bulk Calculator'!S94="",G1089=""),0,IF(K1089&gt;='Bulk Calculator'!R94,1,0))</f>
        <v>1</v>
      </c>
      <c r="M1089">
        <f>IF(AND(H1089=1,I1089&lt;='OS-DORAEN'!$B$6,J1089&lt;='OS-DORAEN'!$B$5,L1089=1),1,0)</f>
        <v>1</v>
      </c>
      <c r="N1089" t="str">
        <f t="shared" si="16"/>
        <v>R/X</v>
      </c>
    </row>
    <row r="1090" spans="1:14" ht="15" customHeight="1" x14ac:dyDescent="0.35">
      <c r="A1090">
        <v>94</v>
      </c>
      <c r="B1090">
        <v>50</v>
      </c>
      <c r="C1090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Master'!$F:$F,B1090),"")</f>
        <v>142</v>
      </c>
      <c r="D1090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Master'!$F:$F,B1090),"")</f>
        <v>0.82</v>
      </c>
      <c r="E1090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Master'!$F:$F,B1090),"")</f>
        <v>0.82</v>
      </c>
      <c r="F1090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Master'!$F:$F,B1090),"")</f>
        <v>7.8E-2</v>
      </c>
      <c r="G1090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Master'!$F:$F,B1090),"")</f>
        <v>143</v>
      </c>
      <c r="H1090">
        <f>IF(AND(ISNUMBER(C1090),C1090&gt;='Bulk Calculator'!U94/('Bulk Calculator'!J94*'Bulk Calculator'!L94)),1,0)</f>
        <v>1</v>
      </c>
      <c r="I1090">
        <f>IFERROR(IF(AND(ISNUMBER(E1090),ISNUMBER(F1090),E1090&gt;0,F1090&gt;0),SQRT(3)*'Bulk Calculator'!O94*'Bulk Calculator'!AA94*((E1090*'Bulk Calculator'!Q94)+(F1090*SQRT(1-'Bulk Calculator'!Q94^2)))/'Bulk Calculator'!J94/'Bulk Calculator'!K94*100,D1090*'Bulk Calculator'!AA94*'Bulk Calculator'!O94/'Bulk Calculator'!J94/'Bulk Calculator'!K94*100),"")</f>
        <v>0</v>
      </c>
      <c r="J1090">
        <f>IFERROR(IF(AND(ISNUMBER(E1090),ISNUMBER(F1090),E1090&gt;0,F1090&gt;0),SQRT(3)*'Bulk Calculator'!O94*'Bulk Calculator'!U94*((E1090*'Bulk Calculator'!M94)+(F1090*SQRT(1-'Bulk Calculator'!M94^2)))/'Bulk Calculator'!J94/'Bulk Calculator'!K94*100,D1090*'Bulk Calculator'!U94*'Bulk Calculator'!O94/'Bulk Calculator'!J94/'Bulk Calculator'!K94*100),"")</f>
        <v>0</v>
      </c>
      <c r="K1090">
        <f>IFERROR(G1090*B1090*'Bulk Calculator'!J94/SQRT('Bulk Calculator'!S94)/1000,"")</f>
        <v>15.987886039123497</v>
      </c>
      <c r="L1090">
        <f>IF(OR('Bulk Calculator'!R94="",'Bulk Calculator'!S94="",G1090=""),0,IF(K1090&gt;='Bulk Calculator'!R94,1,0))</f>
        <v>1</v>
      </c>
      <c r="M1090">
        <f>IF(AND(H1090=1,I1090&lt;='OS-DORAEN'!$B$6,J1090&lt;='OS-DORAEN'!$B$5,L1090=1),1,0)</f>
        <v>1</v>
      </c>
      <c r="N1090" t="str">
        <f t="shared" ref="N1090:N1153" si="17">IF(AND(ISNUMBER(E1090),ISNUMBER(F1090),E1090&gt;0,F1090&gt;0),"R/X","Manufacturer VD Ref")</f>
        <v>R/X</v>
      </c>
    </row>
    <row r="1091" spans="1:14" ht="15" customHeight="1" x14ac:dyDescent="0.35">
      <c r="A1091">
        <v>94</v>
      </c>
      <c r="B1091">
        <v>35</v>
      </c>
      <c r="C1091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Master'!$F:$F,B1091),"")</f>
        <v>117</v>
      </c>
      <c r="D1091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Master'!$F:$F,B1091),"")</f>
        <v>1.1100000000000001</v>
      </c>
      <c r="E1091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Master'!$F:$F,B1091),"")</f>
        <v>1.1100000000000001</v>
      </c>
      <c r="F1091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Master'!$F:$F,B1091),"")</f>
        <v>0.08</v>
      </c>
      <c r="G1091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Master'!$F:$F,B1091),"")</f>
        <v>143</v>
      </c>
      <c r="H1091">
        <f>IF(AND(ISNUMBER(C1091),C1091&gt;='Bulk Calculator'!U94/('Bulk Calculator'!J94*'Bulk Calculator'!L94)),1,0)</f>
        <v>1</v>
      </c>
      <c r="I1091">
        <f>IFERROR(IF(AND(ISNUMBER(E1091),ISNUMBER(F1091),E1091&gt;0,F1091&gt;0),SQRT(3)*'Bulk Calculator'!O94*'Bulk Calculator'!AA94*((E1091*'Bulk Calculator'!Q94)+(F1091*SQRT(1-'Bulk Calculator'!Q94^2)))/'Bulk Calculator'!J94/'Bulk Calculator'!K94*100,D1091*'Bulk Calculator'!AA94*'Bulk Calculator'!O94/'Bulk Calculator'!J94/'Bulk Calculator'!K94*100),"")</f>
        <v>0</v>
      </c>
      <c r="J1091">
        <f>IFERROR(IF(AND(ISNUMBER(E1091),ISNUMBER(F1091),E1091&gt;0,F1091&gt;0),SQRT(3)*'Bulk Calculator'!O94*'Bulk Calculator'!U94*((E1091*'Bulk Calculator'!M94)+(F1091*SQRT(1-'Bulk Calculator'!M94^2)))/'Bulk Calculator'!J94/'Bulk Calculator'!K94*100,D1091*'Bulk Calculator'!U94*'Bulk Calculator'!O94/'Bulk Calculator'!J94/'Bulk Calculator'!K94*100),"")</f>
        <v>0</v>
      </c>
      <c r="K1091">
        <f>IFERROR(G1091*B1091*'Bulk Calculator'!J94/SQRT('Bulk Calculator'!S94)/1000,"")</f>
        <v>11.191520227386446</v>
      </c>
      <c r="L1091">
        <f>IF(OR('Bulk Calculator'!R94="",'Bulk Calculator'!S94="",G1091=""),0,IF(K1091&gt;='Bulk Calculator'!R94,1,0))</f>
        <v>1</v>
      </c>
      <c r="M1091">
        <f>IF(AND(H1091=1,I1091&lt;='OS-DORAEN'!$B$6,J1091&lt;='OS-DORAEN'!$B$5,L1091=1),1,0)</f>
        <v>1</v>
      </c>
      <c r="N1091" t="str">
        <f t="shared" si="17"/>
        <v>R/X</v>
      </c>
    </row>
    <row r="1092" spans="1:14" ht="15" customHeight="1" x14ac:dyDescent="0.35">
      <c r="A1092">
        <v>94</v>
      </c>
      <c r="B1092">
        <v>25</v>
      </c>
      <c r="C1092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Master'!$F:$F,B1092),"")</f>
        <v>96</v>
      </c>
      <c r="D1092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Master'!$F:$F,B1092),"")</f>
        <v>1.54</v>
      </c>
      <c r="E1092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Master'!$F:$F,B1092),"")</f>
        <v>1.54</v>
      </c>
      <c r="F1092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Master'!$F:$F,B1092),"")</f>
        <v>0.08</v>
      </c>
      <c r="G1092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Master'!$F:$F,B1092),"")</f>
        <v>143</v>
      </c>
      <c r="H1092">
        <f>IF(AND(ISNUMBER(C1092),C1092&gt;='Bulk Calculator'!U94/('Bulk Calculator'!J94*'Bulk Calculator'!L94)),1,0)</f>
        <v>1</v>
      </c>
      <c r="I1092">
        <f>IFERROR(IF(AND(ISNUMBER(E1092),ISNUMBER(F1092),E1092&gt;0,F1092&gt;0),SQRT(3)*'Bulk Calculator'!O94*'Bulk Calculator'!AA94*((E1092*'Bulk Calculator'!Q94)+(F1092*SQRT(1-'Bulk Calculator'!Q94^2)))/'Bulk Calculator'!J94/'Bulk Calculator'!K94*100,D1092*'Bulk Calculator'!AA94*'Bulk Calculator'!O94/'Bulk Calculator'!J94/'Bulk Calculator'!K94*100),"")</f>
        <v>0</v>
      </c>
      <c r="J1092">
        <f>IFERROR(IF(AND(ISNUMBER(E1092),ISNUMBER(F1092),E1092&gt;0,F1092&gt;0),SQRT(3)*'Bulk Calculator'!O94*'Bulk Calculator'!U94*((E1092*'Bulk Calculator'!M94)+(F1092*SQRT(1-'Bulk Calculator'!M94^2)))/'Bulk Calculator'!J94/'Bulk Calculator'!K94*100,D1092*'Bulk Calculator'!U94*'Bulk Calculator'!O94/'Bulk Calculator'!J94/'Bulk Calculator'!K94*100),"")</f>
        <v>0</v>
      </c>
      <c r="K1092">
        <f>IFERROR(G1092*B1092*'Bulk Calculator'!J94/SQRT('Bulk Calculator'!S94)/1000,"")</f>
        <v>7.9939430195617485</v>
      </c>
      <c r="L1092">
        <f>IF(OR('Bulk Calculator'!R94="",'Bulk Calculator'!S94="",G1092=""),0,IF(K1092&gt;='Bulk Calculator'!R94,1,0))</f>
        <v>1</v>
      </c>
      <c r="M1092">
        <f>IF(AND(H1092=1,I1092&lt;='OS-DORAEN'!$B$6,J1092&lt;='OS-DORAEN'!$B$5,L1092=1),1,0)</f>
        <v>1</v>
      </c>
      <c r="N1092" t="str">
        <f t="shared" si="17"/>
        <v>R/X</v>
      </c>
    </row>
    <row r="1093" spans="1:14" ht="15" customHeight="1" x14ac:dyDescent="0.35">
      <c r="A1093">
        <v>94</v>
      </c>
      <c r="B1093">
        <v>16</v>
      </c>
      <c r="C1093">
        <f>IFERROR(SUMIFS('Cable Data Master'!$G:$G,'Cable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Master'!$F:$F,B1093),"")</f>
        <v>0</v>
      </c>
      <c r="D1093">
        <f>IFERROR(SUMIFS('Cable Data Master'!$K:$K,'Cable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Master'!$F:$F,B1093),"")</f>
        <v>0</v>
      </c>
      <c r="E1093">
        <f>IFERROR(SUMIFS('Cable Data Master'!$H:$H,'Cable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Master'!$F:$F,B1093),"")</f>
        <v>0</v>
      </c>
      <c r="F1093">
        <f>IFERROR(SUMIFS('Cable Data Master'!$I:$I,'Cable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Master'!$F:$F,B1093),"")</f>
        <v>0</v>
      </c>
      <c r="G1093">
        <f>IFERROR(SUMIFS('Cable Data Master'!$J:$J,'Cable Data Master'!$A:$A,'Bulk Calculator'!$BF94,'Cable Data Master'!$B:$B,'Bulk Calculator'!$BG94,'Cable Data Master'!$C:$C,'Bulk Calculator'!$BH94,'Cable Data Master'!$D:$D,'Bulk Calculator'!$BI94,'Cable Data Master'!$E:$E,'Bulk Calculator'!$BJ94,'Cable Data Master'!$F:$F,B1093),"")</f>
        <v>0</v>
      </c>
      <c r="H1093">
        <f>IF(AND(ISNUMBER(C1093),C1093&gt;='Bulk Calculator'!U94/('Bulk Calculator'!J94*'Bulk Calculator'!L94)),1,0)</f>
        <v>1</v>
      </c>
      <c r="I1093">
        <f>IFERROR(IF(AND(ISNUMBER(E1093),ISNUMBER(F1093),E1093&gt;0,F1093&gt;0),SQRT(3)*'Bulk Calculator'!O94*'Bulk Calculator'!AA94*((E1093*'Bulk Calculator'!Q94)+(F1093*SQRT(1-'Bulk Calculator'!Q94^2)))/'Bulk Calculator'!J94/'Bulk Calculator'!K94*100,D1093*'Bulk Calculator'!AA94*'Bulk Calculator'!O94/'Bulk Calculator'!J94/'Bulk Calculator'!K94*100),"")</f>
        <v>0</v>
      </c>
      <c r="J1093">
        <f>IFERROR(IF(AND(ISNUMBER(E1093),ISNUMBER(F1093),E1093&gt;0,F1093&gt;0),SQRT(3)*'Bulk Calculator'!O94*'Bulk Calculator'!U94*((E1093*'Bulk Calculator'!M94)+(F1093*SQRT(1-'Bulk Calculator'!M94^2)))/'Bulk Calculator'!J94/'Bulk Calculator'!K94*100,D1093*'Bulk Calculator'!U94*'Bulk Calculator'!O94/'Bulk Calculator'!J94/'Bulk Calculator'!K94*100),"")</f>
        <v>0</v>
      </c>
      <c r="K1093">
        <f>IFERROR(G1093*B1093*'Bulk Calculator'!J94/SQRT('Bulk Calculator'!S94)/1000,"")</f>
        <v>0</v>
      </c>
      <c r="L1093">
        <f>IF(OR('Bulk Calculator'!R94="",'Bulk Calculator'!S94="",G1093=""),0,IF(K1093&gt;='Bulk Calculator'!R94,1,0))</f>
        <v>1</v>
      </c>
      <c r="M1093">
        <f>IF(AND(H1093=1,I1093&lt;='OS-DORAEN'!$B$6,J1093&lt;='OS-DORAEN'!$B$5,L1093=1),1,0)</f>
        <v>1</v>
      </c>
      <c r="N1093" t="str">
        <f t="shared" si="17"/>
        <v>Manufacturer VD Ref</v>
      </c>
    </row>
    <row r="1094" spans="1:14" ht="15" customHeight="1" x14ac:dyDescent="0.35">
      <c r="A1094">
        <v>95</v>
      </c>
      <c r="B1094">
        <v>400</v>
      </c>
      <c r="C1094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Master'!$F:$F,B1094),"")</f>
        <v>530</v>
      </c>
      <c r="D1094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Master'!$F:$F,B1094),"")</f>
        <v>0.1023</v>
      </c>
      <c r="E1094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Master'!$F:$F,B1094),"")</f>
        <v>0.1023</v>
      </c>
      <c r="F1094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Master'!$F:$F,B1094),"")</f>
        <v>7.0000000000000007E-2</v>
      </c>
      <c r="G1094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Master'!$F:$F,B1094),"")</f>
        <v>143</v>
      </c>
      <c r="H1094">
        <f>IF(AND(ISNUMBER(C1094),C1094&gt;='Bulk Calculator'!U95/('Bulk Calculator'!J95*'Bulk Calculator'!L95)),1,0)</f>
        <v>1</v>
      </c>
      <c r="I1094">
        <f>IFERROR(IF(AND(ISNUMBER(E1094),ISNUMBER(F1094),E1094&gt;0,F1094&gt;0),SQRT(3)*'Bulk Calculator'!O95*'Bulk Calculator'!AA95*((E1094*'Bulk Calculator'!Q95)+(F1094*SQRT(1-'Bulk Calculator'!Q95^2)))/'Bulk Calculator'!J95/'Bulk Calculator'!K95*100,D1094*'Bulk Calculator'!AA95*'Bulk Calculator'!O95/'Bulk Calculator'!J95/'Bulk Calculator'!K95*100),"")</f>
        <v>0</v>
      </c>
      <c r="J1094">
        <f>IFERROR(IF(AND(ISNUMBER(E1094),ISNUMBER(F1094),E1094&gt;0,F1094&gt;0),SQRT(3)*'Bulk Calculator'!O95*'Bulk Calculator'!U95*((E1094*'Bulk Calculator'!M95)+(F1094*SQRT(1-'Bulk Calculator'!M95^2)))/'Bulk Calculator'!J95/'Bulk Calculator'!K95*100,D1094*'Bulk Calculator'!U95*'Bulk Calculator'!O95/'Bulk Calculator'!J95/'Bulk Calculator'!K95*100),"")</f>
        <v>0</v>
      </c>
      <c r="K1094">
        <f>IFERROR(G1094*B1094*'Bulk Calculator'!J95/SQRT('Bulk Calculator'!S95)/1000,"")</f>
        <v>127.90308831298798</v>
      </c>
      <c r="L1094">
        <f>IF(OR('Bulk Calculator'!R95="",'Bulk Calculator'!S95="",G1094=""),0,IF(K1094&gt;='Bulk Calculator'!R95,1,0))</f>
        <v>1</v>
      </c>
      <c r="M1094">
        <f>IF(AND(H1094=1,I1094&lt;='OS-DORAEN'!$B$6,J1094&lt;='OS-DORAEN'!$B$5,L1094=1),1,0)</f>
        <v>1</v>
      </c>
      <c r="N1094" t="str">
        <f t="shared" si="17"/>
        <v>R/X</v>
      </c>
    </row>
    <row r="1095" spans="1:14" ht="15" customHeight="1" x14ac:dyDescent="0.35">
      <c r="A1095">
        <v>95</v>
      </c>
      <c r="B1095">
        <v>300</v>
      </c>
      <c r="C1095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Master'!$F:$F,B1095),"")</f>
        <v>455</v>
      </c>
      <c r="D1095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Master'!$F:$F,B1095),"")</f>
        <v>0.13</v>
      </c>
      <c r="E1095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Master'!$F:$F,B1095),"")</f>
        <v>0.13</v>
      </c>
      <c r="F1095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Master'!$F:$F,B1095),"")</f>
        <v>7.0999999999999994E-2</v>
      </c>
      <c r="G1095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Master'!$F:$F,B1095),"")</f>
        <v>143</v>
      </c>
      <c r="H1095">
        <f>IF(AND(ISNUMBER(C1095),C1095&gt;='Bulk Calculator'!U95/('Bulk Calculator'!J95*'Bulk Calculator'!L95)),1,0)</f>
        <v>1</v>
      </c>
      <c r="I1095">
        <f>IFERROR(IF(AND(ISNUMBER(E1095),ISNUMBER(F1095),E1095&gt;0,F1095&gt;0),SQRT(3)*'Bulk Calculator'!O95*'Bulk Calculator'!AA95*((E1095*'Bulk Calculator'!Q95)+(F1095*SQRT(1-'Bulk Calculator'!Q95^2)))/'Bulk Calculator'!J95/'Bulk Calculator'!K95*100,D1095*'Bulk Calculator'!AA95*'Bulk Calculator'!O95/'Bulk Calculator'!J95/'Bulk Calculator'!K95*100),"")</f>
        <v>0</v>
      </c>
      <c r="J1095">
        <f>IFERROR(IF(AND(ISNUMBER(E1095),ISNUMBER(F1095),E1095&gt;0,F1095&gt;0),SQRT(3)*'Bulk Calculator'!O95*'Bulk Calculator'!U95*((E1095*'Bulk Calculator'!M95)+(F1095*SQRT(1-'Bulk Calculator'!M95^2)))/'Bulk Calculator'!J95/'Bulk Calculator'!K95*100,D1095*'Bulk Calculator'!U95*'Bulk Calculator'!O95/'Bulk Calculator'!J95/'Bulk Calculator'!K95*100),"")</f>
        <v>0</v>
      </c>
      <c r="K1095">
        <f>IFERROR(G1095*B1095*'Bulk Calculator'!J95/SQRT('Bulk Calculator'!S95)/1000,"")</f>
        <v>95.927316234740985</v>
      </c>
      <c r="L1095">
        <f>IF(OR('Bulk Calculator'!R95="",'Bulk Calculator'!S95="",G1095=""),0,IF(K1095&gt;='Bulk Calculator'!R95,1,0))</f>
        <v>1</v>
      </c>
      <c r="M1095">
        <f>IF(AND(H1095=1,I1095&lt;='OS-DORAEN'!$B$6,J1095&lt;='OS-DORAEN'!$B$5,L1095=1),1,0)</f>
        <v>1</v>
      </c>
      <c r="N1095" t="str">
        <f t="shared" si="17"/>
        <v>R/X</v>
      </c>
    </row>
    <row r="1096" spans="1:14" ht="15" customHeight="1" x14ac:dyDescent="0.35">
      <c r="A1096">
        <v>95</v>
      </c>
      <c r="B1096">
        <v>240</v>
      </c>
      <c r="C1096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Master'!$F:$F,B1096),"")</f>
        <v>399</v>
      </c>
      <c r="D1096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Master'!$F:$F,B1096),"")</f>
        <v>0.16200000000000001</v>
      </c>
      <c r="E1096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Master'!$F:$F,B1096),"")</f>
        <v>0.16200000000000001</v>
      </c>
      <c r="F1096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Master'!$F:$F,B1096),"")</f>
        <v>7.1999999999999995E-2</v>
      </c>
      <c r="G1096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Master'!$F:$F,B1096),"")</f>
        <v>143</v>
      </c>
      <c r="H1096">
        <f>IF(AND(ISNUMBER(C1096),C1096&gt;='Bulk Calculator'!U95/('Bulk Calculator'!J95*'Bulk Calculator'!L95)),1,0)</f>
        <v>1</v>
      </c>
      <c r="I1096">
        <f>IFERROR(IF(AND(ISNUMBER(E1096),ISNUMBER(F1096),E1096&gt;0,F1096&gt;0),SQRT(3)*'Bulk Calculator'!O95*'Bulk Calculator'!AA95*((E1096*'Bulk Calculator'!Q95)+(F1096*SQRT(1-'Bulk Calculator'!Q95^2)))/'Bulk Calculator'!J95/'Bulk Calculator'!K95*100,D1096*'Bulk Calculator'!AA95*'Bulk Calculator'!O95/'Bulk Calculator'!J95/'Bulk Calculator'!K95*100),"")</f>
        <v>0</v>
      </c>
      <c r="J1096">
        <f>IFERROR(IF(AND(ISNUMBER(E1096),ISNUMBER(F1096),E1096&gt;0,F1096&gt;0),SQRT(3)*'Bulk Calculator'!O95*'Bulk Calculator'!U95*((E1096*'Bulk Calculator'!M95)+(F1096*SQRT(1-'Bulk Calculator'!M95^2)))/'Bulk Calculator'!J95/'Bulk Calculator'!K95*100,D1096*'Bulk Calculator'!U95*'Bulk Calculator'!O95/'Bulk Calculator'!J95/'Bulk Calculator'!K95*100),"")</f>
        <v>0</v>
      </c>
      <c r="K1096">
        <f>IFERROR(G1096*B1096*'Bulk Calculator'!J95/SQRT('Bulk Calculator'!S95)/1000,"")</f>
        <v>76.741852987792782</v>
      </c>
      <c r="L1096">
        <f>IF(OR('Bulk Calculator'!R95="",'Bulk Calculator'!S95="",G1096=""),0,IF(K1096&gt;='Bulk Calculator'!R95,1,0))</f>
        <v>1</v>
      </c>
      <c r="M1096">
        <f>IF(AND(H1096=1,I1096&lt;='OS-DORAEN'!$B$6,J1096&lt;='OS-DORAEN'!$B$5,L1096=1),1,0)</f>
        <v>1</v>
      </c>
      <c r="N1096" t="str">
        <f t="shared" si="17"/>
        <v>R/X</v>
      </c>
    </row>
    <row r="1097" spans="1:14" ht="15" customHeight="1" x14ac:dyDescent="0.35">
      <c r="A1097">
        <v>95</v>
      </c>
      <c r="B1097">
        <v>185</v>
      </c>
      <c r="C1097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Master'!$F:$F,B1097),"")</f>
        <v>337</v>
      </c>
      <c r="D1097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Master'!$F:$F,B1097),"")</f>
        <v>0.21099999999999999</v>
      </c>
      <c r="E1097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Master'!$F:$F,B1097),"")</f>
        <v>0.21099999999999999</v>
      </c>
      <c r="F1097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Master'!$F:$F,B1097),"")</f>
        <v>7.1999999999999995E-2</v>
      </c>
      <c r="G1097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Master'!$F:$F,B1097),"")</f>
        <v>143</v>
      </c>
      <c r="H1097">
        <f>IF(AND(ISNUMBER(C1097),C1097&gt;='Bulk Calculator'!U95/('Bulk Calculator'!J95*'Bulk Calculator'!L95)),1,0)</f>
        <v>1</v>
      </c>
      <c r="I1097">
        <f>IFERROR(IF(AND(ISNUMBER(E1097),ISNUMBER(F1097),E1097&gt;0,F1097&gt;0),SQRT(3)*'Bulk Calculator'!O95*'Bulk Calculator'!AA95*((E1097*'Bulk Calculator'!Q95)+(F1097*SQRT(1-'Bulk Calculator'!Q95^2)))/'Bulk Calculator'!J95/'Bulk Calculator'!K95*100,D1097*'Bulk Calculator'!AA95*'Bulk Calculator'!O95/'Bulk Calculator'!J95/'Bulk Calculator'!K95*100),"")</f>
        <v>0</v>
      </c>
      <c r="J1097">
        <f>IFERROR(IF(AND(ISNUMBER(E1097),ISNUMBER(F1097),E1097&gt;0,F1097&gt;0),SQRT(3)*'Bulk Calculator'!O95*'Bulk Calculator'!U95*((E1097*'Bulk Calculator'!M95)+(F1097*SQRT(1-'Bulk Calculator'!M95^2)))/'Bulk Calculator'!J95/'Bulk Calculator'!K95*100,D1097*'Bulk Calculator'!U95*'Bulk Calculator'!O95/'Bulk Calculator'!J95/'Bulk Calculator'!K95*100),"")</f>
        <v>0</v>
      </c>
      <c r="K1097">
        <f>IFERROR(G1097*B1097*'Bulk Calculator'!J95/SQRT('Bulk Calculator'!S95)/1000,"")</f>
        <v>59.155178344756941</v>
      </c>
      <c r="L1097">
        <f>IF(OR('Bulk Calculator'!R95="",'Bulk Calculator'!S95="",G1097=""),0,IF(K1097&gt;='Bulk Calculator'!R95,1,0))</f>
        <v>1</v>
      </c>
      <c r="M1097">
        <f>IF(AND(H1097=1,I1097&lt;='OS-DORAEN'!$B$6,J1097&lt;='OS-DORAEN'!$B$5,L1097=1),1,0)</f>
        <v>1</v>
      </c>
      <c r="N1097" t="str">
        <f t="shared" si="17"/>
        <v>R/X</v>
      </c>
    </row>
    <row r="1098" spans="1:14" ht="15" customHeight="1" x14ac:dyDescent="0.35">
      <c r="A1098">
        <v>95</v>
      </c>
      <c r="B1098">
        <v>150</v>
      </c>
      <c r="C1098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Master'!$F:$F,B1098),"")</f>
        <v>292</v>
      </c>
      <c r="D1098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Master'!$F:$F,B1098),"")</f>
        <v>0.26500000000000001</v>
      </c>
      <c r="E1098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Master'!$F:$F,B1098),"")</f>
        <v>0.26500000000000001</v>
      </c>
      <c r="F1098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Master'!$F:$F,B1098),"")</f>
        <v>7.1999999999999995E-2</v>
      </c>
      <c r="G1098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Master'!$F:$F,B1098),"")</f>
        <v>143</v>
      </c>
      <c r="H1098">
        <f>IF(AND(ISNUMBER(C1098),C1098&gt;='Bulk Calculator'!U95/('Bulk Calculator'!J95*'Bulk Calculator'!L95)),1,0)</f>
        <v>1</v>
      </c>
      <c r="I1098">
        <f>IFERROR(IF(AND(ISNUMBER(E1098),ISNUMBER(F1098),E1098&gt;0,F1098&gt;0),SQRT(3)*'Bulk Calculator'!O95*'Bulk Calculator'!AA95*((E1098*'Bulk Calculator'!Q95)+(F1098*SQRT(1-'Bulk Calculator'!Q95^2)))/'Bulk Calculator'!J95/'Bulk Calculator'!K95*100,D1098*'Bulk Calculator'!AA95*'Bulk Calculator'!O95/'Bulk Calculator'!J95/'Bulk Calculator'!K95*100),"")</f>
        <v>0</v>
      </c>
      <c r="J1098">
        <f>IFERROR(IF(AND(ISNUMBER(E1098),ISNUMBER(F1098),E1098&gt;0,F1098&gt;0),SQRT(3)*'Bulk Calculator'!O95*'Bulk Calculator'!U95*((E1098*'Bulk Calculator'!M95)+(F1098*SQRT(1-'Bulk Calculator'!M95^2)))/'Bulk Calculator'!J95/'Bulk Calculator'!K95*100,D1098*'Bulk Calculator'!U95*'Bulk Calculator'!O95/'Bulk Calculator'!J95/'Bulk Calculator'!K95*100),"")</f>
        <v>0</v>
      </c>
      <c r="K1098">
        <f>IFERROR(G1098*B1098*'Bulk Calculator'!J95/SQRT('Bulk Calculator'!S95)/1000,"")</f>
        <v>47.963658117370493</v>
      </c>
      <c r="L1098">
        <f>IF(OR('Bulk Calculator'!R95="",'Bulk Calculator'!S95="",G1098=""),0,IF(K1098&gt;='Bulk Calculator'!R95,1,0))</f>
        <v>1</v>
      </c>
      <c r="M1098">
        <f>IF(AND(H1098=1,I1098&lt;='OS-DORAEN'!$B$6,J1098&lt;='OS-DORAEN'!$B$5,L1098=1),1,0)</f>
        <v>1</v>
      </c>
      <c r="N1098" t="str">
        <f t="shared" si="17"/>
        <v>R/X</v>
      </c>
    </row>
    <row r="1099" spans="1:14" ht="15" customHeight="1" x14ac:dyDescent="0.35">
      <c r="A1099">
        <v>95</v>
      </c>
      <c r="B1099">
        <v>120</v>
      </c>
      <c r="C1099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Master'!$F:$F,B1099),"")</f>
        <v>257</v>
      </c>
      <c r="D1099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Master'!$F:$F,B1099),"")</f>
        <v>0.32500000000000001</v>
      </c>
      <c r="E1099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Master'!$F:$F,B1099),"")</f>
        <v>0.32500000000000001</v>
      </c>
      <c r="F1099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Master'!$F:$F,B1099),"")</f>
        <v>7.1999999999999995E-2</v>
      </c>
      <c r="G1099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Master'!$F:$F,B1099),"")</f>
        <v>143</v>
      </c>
      <c r="H1099">
        <f>IF(AND(ISNUMBER(C1099),C1099&gt;='Bulk Calculator'!U95/('Bulk Calculator'!J95*'Bulk Calculator'!L95)),1,0)</f>
        <v>1</v>
      </c>
      <c r="I1099">
        <f>IFERROR(IF(AND(ISNUMBER(E1099),ISNUMBER(F1099),E1099&gt;0,F1099&gt;0),SQRT(3)*'Bulk Calculator'!O95*'Bulk Calculator'!AA95*((E1099*'Bulk Calculator'!Q95)+(F1099*SQRT(1-'Bulk Calculator'!Q95^2)))/'Bulk Calculator'!J95/'Bulk Calculator'!K95*100,D1099*'Bulk Calculator'!AA95*'Bulk Calculator'!O95/'Bulk Calculator'!J95/'Bulk Calculator'!K95*100),"")</f>
        <v>0</v>
      </c>
      <c r="J1099">
        <f>IFERROR(IF(AND(ISNUMBER(E1099),ISNUMBER(F1099),E1099&gt;0,F1099&gt;0),SQRT(3)*'Bulk Calculator'!O95*'Bulk Calculator'!U95*((E1099*'Bulk Calculator'!M95)+(F1099*SQRT(1-'Bulk Calculator'!M95^2)))/'Bulk Calculator'!J95/'Bulk Calculator'!K95*100,D1099*'Bulk Calculator'!U95*'Bulk Calculator'!O95/'Bulk Calculator'!J95/'Bulk Calculator'!K95*100),"")</f>
        <v>0</v>
      </c>
      <c r="K1099">
        <f>IFERROR(G1099*B1099*'Bulk Calculator'!J95/SQRT('Bulk Calculator'!S95)/1000,"")</f>
        <v>38.370926493896391</v>
      </c>
      <c r="L1099">
        <f>IF(OR('Bulk Calculator'!R95="",'Bulk Calculator'!S95="",G1099=""),0,IF(K1099&gt;='Bulk Calculator'!R95,1,0))</f>
        <v>1</v>
      </c>
      <c r="M1099">
        <f>IF(AND(H1099=1,I1099&lt;='OS-DORAEN'!$B$6,J1099&lt;='OS-DORAEN'!$B$5,L1099=1),1,0)</f>
        <v>1</v>
      </c>
      <c r="N1099" t="str">
        <f t="shared" si="17"/>
        <v>R/X</v>
      </c>
    </row>
    <row r="1100" spans="1:14" ht="15" customHeight="1" x14ac:dyDescent="0.35">
      <c r="A1100">
        <v>95</v>
      </c>
      <c r="B1100">
        <v>95</v>
      </c>
      <c r="C1100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Master'!$F:$F,B1100),"")</f>
        <v>221</v>
      </c>
      <c r="D1100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Master'!$F:$F,B1100),"")</f>
        <v>0.41</v>
      </c>
      <c r="E1100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Master'!$F:$F,B1100),"")</f>
        <v>0.41</v>
      </c>
      <c r="F1100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Master'!$F:$F,B1100),"")</f>
        <v>7.3999999999999996E-2</v>
      </c>
      <c r="G1100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Master'!$F:$F,B1100),"")</f>
        <v>143</v>
      </c>
      <c r="H1100">
        <f>IF(AND(ISNUMBER(C1100),C1100&gt;='Bulk Calculator'!U95/('Bulk Calculator'!J95*'Bulk Calculator'!L95)),1,0)</f>
        <v>1</v>
      </c>
      <c r="I1100">
        <f>IFERROR(IF(AND(ISNUMBER(E1100),ISNUMBER(F1100),E1100&gt;0,F1100&gt;0),SQRT(3)*'Bulk Calculator'!O95*'Bulk Calculator'!AA95*((E1100*'Bulk Calculator'!Q95)+(F1100*SQRT(1-'Bulk Calculator'!Q95^2)))/'Bulk Calculator'!J95/'Bulk Calculator'!K95*100,D1100*'Bulk Calculator'!AA95*'Bulk Calculator'!O95/'Bulk Calculator'!J95/'Bulk Calculator'!K95*100),"")</f>
        <v>0</v>
      </c>
      <c r="J1100">
        <f>IFERROR(IF(AND(ISNUMBER(E1100),ISNUMBER(F1100),E1100&gt;0,F1100&gt;0),SQRT(3)*'Bulk Calculator'!O95*'Bulk Calculator'!U95*((E1100*'Bulk Calculator'!M95)+(F1100*SQRT(1-'Bulk Calculator'!M95^2)))/'Bulk Calculator'!J95/'Bulk Calculator'!K95*100,D1100*'Bulk Calculator'!U95*'Bulk Calculator'!O95/'Bulk Calculator'!J95/'Bulk Calculator'!K95*100),"")</f>
        <v>0</v>
      </c>
      <c r="K1100">
        <f>IFERROR(G1100*B1100*'Bulk Calculator'!J95/SQRT('Bulk Calculator'!S95)/1000,"")</f>
        <v>30.376983474334644</v>
      </c>
      <c r="L1100">
        <f>IF(OR('Bulk Calculator'!R95="",'Bulk Calculator'!S95="",G1100=""),0,IF(K1100&gt;='Bulk Calculator'!R95,1,0))</f>
        <v>1</v>
      </c>
      <c r="M1100">
        <f>IF(AND(H1100=1,I1100&lt;='OS-DORAEN'!$B$6,J1100&lt;='OS-DORAEN'!$B$5,L1100=1),1,0)</f>
        <v>1</v>
      </c>
      <c r="N1100" t="str">
        <f t="shared" si="17"/>
        <v>R/X</v>
      </c>
    </row>
    <row r="1101" spans="1:14" ht="15" customHeight="1" x14ac:dyDescent="0.35">
      <c r="A1101">
        <v>95</v>
      </c>
      <c r="B1101">
        <v>70</v>
      </c>
      <c r="C1101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Master'!$F:$F,B1101),"")</f>
        <v>179</v>
      </c>
      <c r="D1101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Master'!$F:$F,B1101),"")</f>
        <v>0.56699999999999995</v>
      </c>
      <c r="E1101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Master'!$F:$F,B1101),"")</f>
        <v>0.56699999999999995</v>
      </c>
      <c r="F1101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Master'!$F:$F,B1101),"")</f>
        <v>7.6999999999999999E-2</v>
      </c>
      <c r="G1101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Master'!$F:$F,B1101),"")</f>
        <v>143</v>
      </c>
      <c r="H1101">
        <f>IF(AND(ISNUMBER(C1101),C1101&gt;='Bulk Calculator'!U95/('Bulk Calculator'!J95*'Bulk Calculator'!L95)),1,0)</f>
        <v>1</v>
      </c>
      <c r="I1101">
        <f>IFERROR(IF(AND(ISNUMBER(E1101),ISNUMBER(F1101),E1101&gt;0,F1101&gt;0),SQRT(3)*'Bulk Calculator'!O95*'Bulk Calculator'!AA95*((E1101*'Bulk Calculator'!Q95)+(F1101*SQRT(1-'Bulk Calculator'!Q95^2)))/'Bulk Calculator'!J95/'Bulk Calculator'!K95*100,D1101*'Bulk Calculator'!AA95*'Bulk Calculator'!O95/'Bulk Calculator'!J95/'Bulk Calculator'!K95*100),"")</f>
        <v>0</v>
      </c>
      <c r="J1101">
        <f>IFERROR(IF(AND(ISNUMBER(E1101),ISNUMBER(F1101),E1101&gt;0,F1101&gt;0),SQRT(3)*'Bulk Calculator'!O95*'Bulk Calculator'!U95*((E1101*'Bulk Calculator'!M95)+(F1101*SQRT(1-'Bulk Calculator'!M95^2)))/'Bulk Calculator'!J95/'Bulk Calculator'!K95*100,D1101*'Bulk Calculator'!U95*'Bulk Calculator'!O95/'Bulk Calculator'!J95/'Bulk Calculator'!K95*100),"")</f>
        <v>0</v>
      </c>
      <c r="K1101">
        <f>IFERROR(G1101*B1101*'Bulk Calculator'!J95/SQRT('Bulk Calculator'!S95)/1000,"")</f>
        <v>22.383040454772893</v>
      </c>
      <c r="L1101">
        <f>IF(OR('Bulk Calculator'!R95="",'Bulk Calculator'!S95="",G1101=""),0,IF(K1101&gt;='Bulk Calculator'!R95,1,0))</f>
        <v>1</v>
      </c>
      <c r="M1101">
        <f>IF(AND(H1101=1,I1101&lt;='OS-DORAEN'!$B$6,J1101&lt;='OS-DORAEN'!$B$5,L1101=1),1,0)</f>
        <v>1</v>
      </c>
      <c r="N1101" t="str">
        <f t="shared" si="17"/>
        <v>R/X</v>
      </c>
    </row>
    <row r="1102" spans="1:14" ht="15" customHeight="1" x14ac:dyDescent="0.35">
      <c r="A1102">
        <v>95</v>
      </c>
      <c r="B1102">
        <v>50</v>
      </c>
      <c r="C1102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Master'!$F:$F,B1102),"")</f>
        <v>142</v>
      </c>
      <c r="D1102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Master'!$F:$F,B1102),"")</f>
        <v>0.82</v>
      </c>
      <c r="E1102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Master'!$F:$F,B1102),"")</f>
        <v>0.82</v>
      </c>
      <c r="F1102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Master'!$F:$F,B1102),"")</f>
        <v>7.8E-2</v>
      </c>
      <c r="G1102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Master'!$F:$F,B1102),"")</f>
        <v>143</v>
      </c>
      <c r="H1102">
        <f>IF(AND(ISNUMBER(C1102),C1102&gt;='Bulk Calculator'!U95/('Bulk Calculator'!J95*'Bulk Calculator'!L95)),1,0)</f>
        <v>1</v>
      </c>
      <c r="I1102">
        <f>IFERROR(IF(AND(ISNUMBER(E1102),ISNUMBER(F1102),E1102&gt;0,F1102&gt;0),SQRT(3)*'Bulk Calculator'!O95*'Bulk Calculator'!AA95*((E1102*'Bulk Calculator'!Q95)+(F1102*SQRT(1-'Bulk Calculator'!Q95^2)))/'Bulk Calculator'!J95/'Bulk Calculator'!K95*100,D1102*'Bulk Calculator'!AA95*'Bulk Calculator'!O95/'Bulk Calculator'!J95/'Bulk Calculator'!K95*100),"")</f>
        <v>0</v>
      </c>
      <c r="J1102">
        <f>IFERROR(IF(AND(ISNUMBER(E1102),ISNUMBER(F1102),E1102&gt;0,F1102&gt;0),SQRT(3)*'Bulk Calculator'!O95*'Bulk Calculator'!U95*((E1102*'Bulk Calculator'!M95)+(F1102*SQRT(1-'Bulk Calculator'!M95^2)))/'Bulk Calculator'!J95/'Bulk Calculator'!K95*100,D1102*'Bulk Calculator'!U95*'Bulk Calculator'!O95/'Bulk Calculator'!J95/'Bulk Calculator'!K95*100),"")</f>
        <v>0</v>
      </c>
      <c r="K1102">
        <f>IFERROR(G1102*B1102*'Bulk Calculator'!J95/SQRT('Bulk Calculator'!S95)/1000,"")</f>
        <v>15.987886039123497</v>
      </c>
      <c r="L1102">
        <f>IF(OR('Bulk Calculator'!R95="",'Bulk Calculator'!S95="",G1102=""),0,IF(K1102&gt;='Bulk Calculator'!R95,1,0))</f>
        <v>1</v>
      </c>
      <c r="M1102">
        <f>IF(AND(H1102=1,I1102&lt;='OS-DORAEN'!$B$6,J1102&lt;='OS-DORAEN'!$B$5,L1102=1),1,0)</f>
        <v>1</v>
      </c>
      <c r="N1102" t="str">
        <f t="shared" si="17"/>
        <v>R/X</v>
      </c>
    </row>
    <row r="1103" spans="1:14" ht="15" customHeight="1" x14ac:dyDescent="0.35">
      <c r="A1103">
        <v>95</v>
      </c>
      <c r="B1103">
        <v>35</v>
      </c>
      <c r="C1103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Master'!$F:$F,B1103),"")</f>
        <v>117</v>
      </c>
      <c r="D1103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Master'!$F:$F,B1103),"")</f>
        <v>1.1100000000000001</v>
      </c>
      <c r="E1103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Master'!$F:$F,B1103),"")</f>
        <v>1.1100000000000001</v>
      </c>
      <c r="F1103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Master'!$F:$F,B1103),"")</f>
        <v>0.08</v>
      </c>
      <c r="G1103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Master'!$F:$F,B1103),"")</f>
        <v>143</v>
      </c>
      <c r="H1103">
        <f>IF(AND(ISNUMBER(C1103),C1103&gt;='Bulk Calculator'!U95/('Bulk Calculator'!J95*'Bulk Calculator'!L95)),1,0)</f>
        <v>1</v>
      </c>
      <c r="I1103">
        <f>IFERROR(IF(AND(ISNUMBER(E1103),ISNUMBER(F1103),E1103&gt;0,F1103&gt;0),SQRT(3)*'Bulk Calculator'!O95*'Bulk Calculator'!AA95*((E1103*'Bulk Calculator'!Q95)+(F1103*SQRT(1-'Bulk Calculator'!Q95^2)))/'Bulk Calculator'!J95/'Bulk Calculator'!K95*100,D1103*'Bulk Calculator'!AA95*'Bulk Calculator'!O95/'Bulk Calculator'!J95/'Bulk Calculator'!K95*100),"")</f>
        <v>0</v>
      </c>
      <c r="J1103">
        <f>IFERROR(IF(AND(ISNUMBER(E1103),ISNUMBER(F1103),E1103&gt;0,F1103&gt;0),SQRT(3)*'Bulk Calculator'!O95*'Bulk Calculator'!U95*((E1103*'Bulk Calculator'!M95)+(F1103*SQRT(1-'Bulk Calculator'!M95^2)))/'Bulk Calculator'!J95/'Bulk Calculator'!K95*100,D1103*'Bulk Calculator'!U95*'Bulk Calculator'!O95/'Bulk Calculator'!J95/'Bulk Calculator'!K95*100),"")</f>
        <v>0</v>
      </c>
      <c r="K1103">
        <f>IFERROR(G1103*B1103*'Bulk Calculator'!J95/SQRT('Bulk Calculator'!S95)/1000,"")</f>
        <v>11.191520227386446</v>
      </c>
      <c r="L1103">
        <f>IF(OR('Bulk Calculator'!R95="",'Bulk Calculator'!S95="",G1103=""),0,IF(K1103&gt;='Bulk Calculator'!R95,1,0))</f>
        <v>1</v>
      </c>
      <c r="M1103">
        <f>IF(AND(H1103=1,I1103&lt;='OS-DORAEN'!$B$6,J1103&lt;='OS-DORAEN'!$B$5,L1103=1),1,0)</f>
        <v>1</v>
      </c>
      <c r="N1103" t="str">
        <f t="shared" si="17"/>
        <v>R/X</v>
      </c>
    </row>
    <row r="1104" spans="1:14" ht="15" customHeight="1" x14ac:dyDescent="0.35">
      <c r="A1104">
        <v>95</v>
      </c>
      <c r="B1104">
        <v>25</v>
      </c>
      <c r="C1104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Master'!$F:$F,B1104),"")</f>
        <v>96</v>
      </c>
      <c r="D1104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Master'!$F:$F,B1104),"")</f>
        <v>1.54</v>
      </c>
      <c r="E1104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Master'!$F:$F,B1104),"")</f>
        <v>1.54</v>
      </c>
      <c r="F1104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Master'!$F:$F,B1104),"")</f>
        <v>0.08</v>
      </c>
      <c r="G1104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Master'!$F:$F,B1104),"")</f>
        <v>143</v>
      </c>
      <c r="H1104">
        <f>IF(AND(ISNUMBER(C1104),C1104&gt;='Bulk Calculator'!U95/('Bulk Calculator'!J95*'Bulk Calculator'!L95)),1,0)</f>
        <v>1</v>
      </c>
      <c r="I1104">
        <f>IFERROR(IF(AND(ISNUMBER(E1104),ISNUMBER(F1104),E1104&gt;0,F1104&gt;0),SQRT(3)*'Bulk Calculator'!O95*'Bulk Calculator'!AA95*((E1104*'Bulk Calculator'!Q95)+(F1104*SQRT(1-'Bulk Calculator'!Q95^2)))/'Bulk Calculator'!J95/'Bulk Calculator'!K95*100,D1104*'Bulk Calculator'!AA95*'Bulk Calculator'!O95/'Bulk Calculator'!J95/'Bulk Calculator'!K95*100),"")</f>
        <v>0</v>
      </c>
      <c r="J1104">
        <f>IFERROR(IF(AND(ISNUMBER(E1104),ISNUMBER(F1104),E1104&gt;0,F1104&gt;0),SQRT(3)*'Bulk Calculator'!O95*'Bulk Calculator'!U95*((E1104*'Bulk Calculator'!M95)+(F1104*SQRT(1-'Bulk Calculator'!M95^2)))/'Bulk Calculator'!J95/'Bulk Calculator'!K95*100,D1104*'Bulk Calculator'!U95*'Bulk Calculator'!O95/'Bulk Calculator'!J95/'Bulk Calculator'!K95*100),"")</f>
        <v>0</v>
      </c>
      <c r="K1104">
        <f>IFERROR(G1104*B1104*'Bulk Calculator'!J95/SQRT('Bulk Calculator'!S95)/1000,"")</f>
        <v>7.9939430195617485</v>
      </c>
      <c r="L1104">
        <f>IF(OR('Bulk Calculator'!R95="",'Bulk Calculator'!S95="",G1104=""),0,IF(K1104&gt;='Bulk Calculator'!R95,1,0))</f>
        <v>1</v>
      </c>
      <c r="M1104">
        <f>IF(AND(H1104=1,I1104&lt;='OS-DORAEN'!$B$6,J1104&lt;='OS-DORAEN'!$B$5,L1104=1),1,0)</f>
        <v>1</v>
      </c>
      <c r="N1104" t="str">
        <f t="shared" si="17"/>
        <v>R/X</v>
      </c>
    </row>
    <row r="1105" spans="1:14" ht="15" customHeight="1" x14ac:dyDescent="0.35">
      <c r="A1105">
        <v>95</v>
      </c>
      <c r="B1105">
        <v>16</v>
      </c>
      <c r="C1105">
        <f>IFERROR(SUMIFS('Cable Data Master'!$G:$G,'Cable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Master'!$F:$F,B1105),"")</f>
        <v>0</v>
      </c>
      <c r="D1105">
        <f>IFERROR(SUMIFS('Cable Data Master'!$K:$K,'Cable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Master'!$F:$F,B1105),"")</f>
        <v>0</v>
      </c>
      <c r="E1105">
        <f>IFERROR(SUMIFS('Cable Data Master'!$H:$H,'Cable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Master'!$F:$F,B1105),"")</f>
        <v>0</v>
      </c>
      <c r="F1105">
        <f>IFERROR(SUMIFS('Cable Data Master'!$I:$I,'Cable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Master'!$F:$F,B1105),"")</f>
        <v>0</v>
      </c>
      <c r="G1105">
        <f>IFERROR(SUMIFS('Cable Data Master'!$J:$J,'Cable Data Master'!$A:$A,'Bulk Calculator'!$BF95,'Cable Data Master'!$B:$B,'Bulk Calculator'!$BG95,'Cable Data Master'!$C:$C,'Bulk Calculator'!$BH95,'Cable Data Master'!$D:$D,'Bulk Calculator'!$BI95,'Cable Data Master'!$E:$E,'Bulk Calculator'!$BJ95,'Cable Data Master'!$F:$F,B1105),"")</f>
        <v>0</v>
      </c>
      <c r="H1105">
        <f>IF(AND(ISNUMBER(C1105),C1105&gt;='Bulk Calculator'!U95/('Bulk Calculator'!J95*'Bulk Calculator'!L95)),1,0)</f>
        <v>1</v>
      </c>
      <c r="I1105">
        <f>IFERROR(IF(AND(ISNUMBER(E1105),ISNUMBER(F1105),E1105&gt;0,F1105&gt;0),SQRT(3)*'Bulk Calculator'!O95*'Bulk Calculator'!AA95*((E1105*'Bulk Calculator'!Q95)+(F1105*SQRT(1-'Bulk Calculator'!Q95^2)))/'Bulk Calculator'!J95/'Bulk Calculator'!K95*100,D1105*'Bulk Calculator'!AA95*'Bulk Calculator'!O95/'Bulk Calculator'!J95/'Bulk Calculator'!K95*100),"")</f>
        <v>0</v>
      </c>
      <c r="J1105">
        <f>IFERROR(IF(AND(ISNUMBER(E1105),ISNUMBER(F1105),E1105&gt;0,F1105&gt;0),SQRT(3)*'Bulk Calculator'!O95*'Bulk Calculator'!U95*((E1105*'Bulk Calculator'!M95)+(F1105*SQRT(1-'Bulk Calculator'!M95^2)))/'Bulk Calculator'!J95/'Bulk Calculator'!K95*100,D1105*'Bulk Calculator'!U95*'Bulk Calculator'!O95/'Bulk Calculator'!J95/'Bulk Calculator'!K95*100),"")</f>
        <v>0</v>
      </c>
      <c r="K1105">
        <f>IFERROR(G1105*B1105*'Bulk Calculator'!J95/SQRT('Bulk Calculator'!S95)/1000,"")</f>
        <v>0</v>
      </c>
      <c r="L1105">
        <f>IF(OR('Bulk Calculator'!R95="",'Bulk Calculator'!S95="",G1105=""),0,IF(K1105&gt;='Bulk Calculator'!R95,1,0))</f>
        <v>1</v>
      </c>
      <c r="M1105">
        <f>IF(AND(H1105=1,I1105&lt;='OS-DORAEN'!$B$6,J1105&lt;='OS-DORAEN'!$B$5,L1105=1),1,0)</f>
        <v>1</v>
      </c>
      <c r="N1105" t="str">
        <f t="shared" si="17"/>
        <v>Manufacturer VD Ref</v>
      </c>
    </row>
    <row r="1106" spans="1:14" ht="15" customHeight="1" x14ac:dyDescent="0.35">
      <c r="A1106">
        <v>96</v>
      </c>
      <c r="B1106">
        <v>400</v>
      </c>
      <c r="C1106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Master'!$F:$F,B1106),"")</f>
        <v>530</v>
      </c>
      <c r="D1106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Master'!$F:$F,B1106),"")</f>
        <v>0.1023</v>
      </c>
      <c r="E1106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Master'!$F:$F,B1106),"")</f>
        <v>0.1023</v>
      </c>
      <c r="F1106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Master'!$F:$F,B1106),"")</f>
        <v>7.0000000000000007E-2</v>
      </c>
      <c r="G1106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Master'!$F:$F,B1106),"")</f>
        <v>143</v>
      </c>
      <c r="H1106">
        <f>IF(AND(ISNUMBER(C1106),C1106&gt;='Bulk Calculator'!U96/('Bulk Calculator'!J96*'Bulk Calculator'!L96)),1,0)</f>
        <v>1</v>
      </c>
      <c r="I1106">
        <f>IFERROR(IF(AND(ISNUMBER(E1106),ISNUMBER(F1106),E1106&gt;0,F1106&gt;0),SQRT(3)*'Bulk Calculator'!O96*'Bulk Calculator'!AA96*((E1106*'Bulk Calculator'!Q96)+(F1106*SQRT(1-'Bulk Calculator'!Q96^2)))/'Bulk Calculator'!J96/'Bulk Calculator'!K96*100,D1106*'Bulk Calculator'!AA96*'Bulk Calculator'!O96/'Bulk Calculator'!J96/'Bulk Calculator'!K96*100),"")</f>
        <v>0</v>
      </c>
      <c r="J1106">
        <f>IFERROR(IF(AND(ISNUMBER(E1106),ISNUMBER(F1106),E1106&gt;0,F1106&gt;0),SQRT(3)*'Bulk Calculator'!O96*'Bulk Calculator'!U96*((E1106*'Bulk Calculator'!M96)+(F1106*SQRT(1-'Bulk Calculator'!M96^2)))/'Bulk Calculator'!J96/'Bulk Calculator'!K96*100,D1106*'Bulk Calculator'!U96*'Bulk Calculator'!O96/'Bulk Calculator'!J96/'Bulk Calculator'!K96*100),"")</f>
        <v>0</v>
      </c>
      <c r="K1106">
        <f>IFERROR(G1106*B1106*'Bulk Calculator'!J96/SQRT('Bulk Calculator'!S96)/1000,"")</f>
        <v>127.90308831298798</v>
      </c>
      <c r="L1106">
        <f>IF(OR('Bulk Calculator'!R96="",'Bulk Calculator'!S96="",G1106=""),0,IF(K1106&gt;='Bulk Calculator'!R96,1,0))</f>
        <v>1</v>
      </c>
      <c r="M1106">
        <f>IF(AND(H1106=1,I1106&lt;='OS-DORAEN'!$B$6,J1106&lt;='OS-DORAEN'!$B$5,L1106=1),1,0)</f>
        <v>1</v>
      </c>
      <c r="N1106" t="str">
        <f t="shared" si="17"/>
        <v>R/X</v>
      </c>
    </row>
    <row r="1107" spans="1:14" ht="15" customHeight="1" x14ac:dyDescent="0.35">
      <c r="A1107">
        <v>96</v>
      </c>
      <c r="B1107">
        <v>300</v>
      </c>
      <c r="C1107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Master'!$F:$F,B1107),"")</f>
        <v>455</v>
      </c>
      <c r="D1107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Master'!$F:$F,B1107),"")</f>
        <v>0.13</v>
      </c>
      <c r="E1107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Master'!$F:$F,B1107),"")</f>
        <v>0.13</v>
      </c>
      <c r="F1107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Master'!$F:$F,B1107),"")</f>
        <v>7.0999999999999994E-2</v>
      </c>
      <c r="G1107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Master'!$F:$F,B1107),"")</f>
        <v>143</v>
      </c>
      <c r="H1107">
        <f>IF(AND(ISNUMBER(C1107),C1107&gt;='Bulk Calculator'!U96/('Bulk Calculator'!J96*'Bulk Calculator'!L96)),1,0)</f>
        <v>1</v>
      </c>
      <c r="I1107">
        <f>IFERROR(IF(AND(ISNUMBER(E1107),ISNUMBER(F1107),E1107&gt;0,F1107&gt;0),SQRT(3)*'Bulk Calculator'!O96*'Bulk Calculator'!AA96*((E1107*'Bulk Calculator'!Q96)+(F1107*SQRT(1-'Bulk Calculator'!Q96^2)))/'Bulk Calculator'!J96/'Bulk Calculator'!K96*100,D1107*'Bulk Calculator'!AA96*'Bulk Calculator'!O96/'Bulk Calculator'!J96/'Bulk Calculator'!K96*100),"")</f>
        <v>0</v>
      </c>
      <c r="J1107">
        <f>IFERROR(IF(AND(ISNUMBER(E1107),ISNUMBER(F1107),E1107&gt;0,F1107&gt;0),SQRT(3)*'Bulk Calculator'!O96*'Bulk Calculator'!U96*((E1107*'Bulk Calculator'!M96)+(F1107*SQRT(1-'Bulk Calculator'!M96^2)))/'Bulk Calculator'!J96/'Bulk Calculator'!K96*100,D1107*'Bulk Calculator'!U96*'Bulk Calculator'!O96/'Bulk Calculator'!J96/'Bulk Calculator'!K96*100),"")</f>
        <v>0</v>
      </c>
      <c r="K1107">
        <f>IFERROR(G1107*B1107*'Bulk Calculator'!J96/SQRT('Bulk Calculator'!S96)/1000,"")</f>
        <v>95.927316234740985</v>
      </c>
      <c r="L1107">
        <f>IF(OR('Bulk Calculator'!R96="",'Bulk Calculator'!S96="",G1107=""),0,IF(K1107&gt;='Bulk Calculator'!R96,1,0))</f>
        <v>1</v>
      </c>
      <c r="M1107">
        <f>IF(AND(H1107=1,I1107&lt;='OS-DORAEN'!$B$6,J1107&lt;='OS-DORAEN'!$B$5,L1107=1),1,0)</f>
        <v>1</v>
      </c>
      <c r="N1107" t="str">
        <f t="shared" si="17"/>
        <v>R/X</v>
      </c>
    </row>
    <row r="1108" spans="1:14" ht="15" customHeight="1" x14ac:dyDescent="0.35">
      <c r="A1108">
        <v>96</v>
      </c>
      <c r="B1108">
        <v>240</v>
      </c>
      <c r="C1108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Master'!$F:$F,B1108),"")</f>
        <v>399</v>
      </c>
      <c r="D1108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Master'!$F:$F,B1108),"")</f>
        <v>0.16200000000000001</v>
      </c>
      <c r="E1108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Master'!$F:$F,B1108),"")</f>
        <v>0.16200000000000001</v>
      </c>
      <c r="F1108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Master'!$F:$F,B1108),"")</f>
        <v>7.1999999999999995E-2</v>
      </c>
      <c r="G1108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Master'!$F:$F,B1108),"")</f>
        <v>143</v>
      </c>
      <c r="H1108">
        <f>IF(AND(ISNUMBER(C1108),C1108&gt;='Bulk Calculator'!U96/('Bulk Calculator'!J96*'Bulk Calculator'!L96)),1,0)</f>
        <v>1</v>
      </c>
      <c r="I1108">
        <f>IFERROR(IF(AND(ISNUMBER(E1108),ISNUMBER(F1108),E1108&gt;0,F1108&gt;0),SQRT(3)*'Bulk Calculator'!O96*'Bulk Calculator'!AA96*((E1108*'Bulk Calculator'!Q96)+(F1108*SQRT(1-'Bulk Calculator'!Q96^2)))/'Bulk Calculator'!J96/'Bulk Calculator'!K96*100,D1108*'Bulk Calculator'!AA96*'Bulk Calculator'!O96/'Bulk Calculator'!J96/'Bulk Calculator'!K96*100),"")</f>
        <v>0</v>
      </c>
      <c r="J1108">
        <f>IFERROR(IF(AND(ISNUMBER(E1108),ISNUMBER(F1108),E1108&gt;0,F1108&gt;0),SQRT(3)*'Bulk Calculator'!O96*'Bulk Calculator'!U96*((E1108*'Bulk Calculator'!M96)+(F1108*SQRT(1-'Bulk Calculator'!M96^2)))/'Bulk Calculator'!J96/'Bulk Calculator'!K96*100,D1108*'Bulk Calculator'!U96*'Bulk Calculator'!O96/'Bulk Calculator'!J96/'Bulk Calculator'!K96*100),"")</f>
        <v>0</v>
      </c>
      <c r="K1108">
        <f>IFERROR(G1108*B1108*'Bulk Calculator'!J96/SQRT('Bulk Calculator'!S96)/1000,"")</f>
        <v>76.741852987792782</v>
      </c>
      <c r="L1108">
        <f>IF(OR('Bulk Calculator'!R96="",'Bulk Calculator'!S96="",G1108=""),0,IF(K1108&gt;='Bulk Calculator'!R96,1,0))</f>
        <v>1</v>
      </c>
      <c r="M1108">
        <f>IF(AND(H1108=1,I1108&lt;='OS-DORAEN'!$B$6,J1108&lt;='OS-DORAEN'!$B$5,L1108=1),1,0)</f>
        <v>1</v>
      </c>
      <c r="N1108" t="str">
        <f t="shared" si="17"/>
        <v>R/X</v>
      </c>
    </row>
    <row r="1109" spans="1:14" ht="15" customHeight="1" x14ac:dyDescent="0.35">
      <c r="A1109">
        <v>96</v>
      </c>
      <c r="B1109">
        <v>185</v>
      </c>
      <c r="C1109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Master'!$F:$F,B1109),"")</f>
        <v>337</v>
      </c>
      <c r="D1109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Master'!$F:$F,B1109),"")</f>
        <v>0.21099999999999999</v>
      </c>
      <c r="E1109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Master'!$F:$F,B1109),"")</f>
        <v>0.21099999999999999</v>
      </c>
      <c r="F1109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Master'!$F:$F,B1109),"")</f>
        <v>7.1999999999999995E-2</v>
      </c>
      <c r="G1109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Master'!$F:$F,B1109),"")</f>
        <v>143</v>
      </c>
      <c r="H1109">
        <f>IF(AND(ISNUMBER(C1109),C1109&gt;='Bulk Calculator'!U96/('Bulk Calculator'!J96*'Bulk Calculator'!L96)),1,0)</f>
        <v>1</v>
      </c>
      <c r="I1109">
        <f>IFERROR(IF(AND(ISNUMBER(E1109),ISNUMBER(F1109),E1109&gt;0,F1109&gt;0),SQRT(3)*'Bulk Calculator'!O96*'Bulk Calculator'!AA96*((E1109*'Bulk Calculator'!Q96)+(F1109*SQRT(1-'Bulk Calculator'!Q96^2)))/'Bulk Calculator'!J96/'Bulk Calculator'!K96*100,D1109*'Bulk Calculator'!AA96*'Bulk Calculator'!O96/'Bulk Calculator'!J96/'Bulk Calculator'!K96*100),"")</f>
        <v>0</v>
      </c>
      <c r="J1109">
        <f>IFERROR(IF(AND(ISNUMBER(E1109),ISNUMBER(F1109),E1109&gt;0,F1109&gt;0),SQRT(3)*'Bulk Calculator'!O96*'Bulk Calculator'!U96*((E1109*'Bulk Calculator'!M96)+(F1109*SQRT(1-'Bulk Calculator'!M96^2)))/'Bulk Calculator'!J96/'Bulk Calculator'!K96*100,D1109*'Bulk Calculator'!U96*'Bulk Calculator'!O96/'Bulk Calculator'!J96/'Bulk Calculator'!K96*100),"")</f>
        <v>0</v>
      </c>
      <c r="K1109">
        <f>IFERROR(G1109*B1109*'Bulk Calculator'!J96/SQRT('Bulk Calculator'!S96)/1000,"")</f>
        <v>59.155178344756941</v>
      </c>
      <c r="L1109">
        <f>IF(OR('Bulk Calculator'!R96="",'Bulk Calculator'!S96="",G1109=""),0,IF(K1109&gt;='Bulk Calculator'!R96,1,0))</f>
        <v>1</v>
      </c>
      <c r="M1109">
        <f>IF(AND(H1109=1,I1109&lt;='OS-DORAEN'!$B$6,J1109&lt;='OS-DORAEN'!$B$5,L1109=1),1,0)</f>
        <v>1</v>
      </c>
      <c r="N1109" t="str">
        <f t="shared" si="17"/>
        <v>R/X</v>
      </c>
    </row>
    <row r="1110" spans="1:14" ht="15" customHeight="1" x14ac:dyDescent="0.35">
      <c r="A1110">
        <v>96</v>
      </c>
      <c r="B1110">
        <v>150</v>
      </c>
      <c r="C1110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Master'!$F:$F,B1110),"")</f>
        <v>292</v>
      </c>
      <c r="D1110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Master'!$F:$F,B1110),"")</f>
        <v>0.26500000000000001</v>
      </c>
      <c r="E1110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Master'!$F:$F,B1110),"")</f>
        <v>0.26500000000000001</v>
      </c>
      <c r="F1110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Master'!$F:$F,B1110),"")</f>
        <v>7.1999999999999995E-2</v>
      </c>
      <c r="G1110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Master'!$F:$F,B1110),"")</f>
        <v>143</v>
      </c>
      <c r="H1110">
        <f>IF(AND(ISNUMBER(C1110),C1110&gt;='Bulk Calculator'!U96/('Bulk Calculator'!J96*'Bulk Calculator'!L96)),1,0)</f>
        <v>1</v>
      </c>
      <c r="I1110">
        <f>IFERROR(IF(AND(ISNUMBER(E1110),ISNUMBER(F1110),E1110&gt;0,F1110&gt;0),SQRT(3)*'Bulk Calculator'!O96*'Bulk Calculator'!AA96*((E1110*'Bulk Calculator'!Q96)+(F1110*SQRT(1-'Bulk Calculator'!Q96^2)))/'Bulk Calculator'!J96/'Bulk Calculator'!K96*100,D1110*'Bulk Calculator'!AA96*'Bulk Calculator'!O96/'Bulk Calculator'!J96/'Bulk Calculator'!K96*100),"")</f>
        <v>0</v>
      </c>
      <c r="J1110">
        <f>IFERROR(IF(AND(ISNUMBER(E1110),ISNUMBER(F1110),E1110&gt;0,F1110&gt;0),SQRT(3)*'Bulk Calculator'!O96*'Bulk Calculator'!U96*((E1110*'Bulk Calculator'!M96)+(F1110*SQRT(1-'Bulk Calculator'!M96^2)))/'Bulk Calculator'!J96/'Bulk Calculator'!K96*100,D1110*'Bulk Calculator'!U96*'Bulk Calculator'!O96/'Bulk Calculator'!J96/'Bulk Calculator'!K96*100),"")</f>
        <v>0</v>
      </c>
      <c r="K1110">
        <f>IFERROR(G1110*B1110*'Bulk Calculator'!J96/SQRT('Bulk Calculator'!S96)/1000,"")</f>
        <v>47.963658117370493</v>
      </c>
      <c r="L1110">
        <f>IF(OR('Bulk Calculator'!R96="",'Bulk Calculator'!S96="",G1110=""),0,IF(K1110&gt;='Bulk Calculator'!R96,1,0))</f>
        <v>1</v>
      </c>
      <c r="M1110">
        <f>IF(AND(H1110=1,I1110&lt;='OS-DORAEN'!$B$6,J1110&lt;='OS-DORAEN'!$B$5,L1110=1),1,0)</f>
        <v>1</v>
      </c>
      <c r="N1110" t="str">
        <f t="shared" si="17"/>
        <v>R/X</v>
      </c>
    </row>
    <row r="1111" spans="1:14" ht="15" customHeight="1" x14ac:dyDescent="0.35">
      <c r="A1111">
        <v>96</v>
      </c>
      <c r="B1111">
        <v>120</v>
      </c>
      <c r="C1111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Master'!$F:$F,B1111),"")</f>
        <v>257</v>
      </c>
      <c r="D1111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Master'!$F:$F,B1111),"")</f>
        <v>0.32500000000000001</v>
      </c>
      <c r="E1111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Master'!$F:$F,B1111),"")</f>
        <v>0.32500000000000001</v>
      </c>
      <c r="F1111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Master'!$F:$F,B1111),"")</f>
        <v>7.1999999999999995E-2</v>
      </c>
      <c r="G1111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Master'!$F:$F,B1111),"")</f>
        <v>143</v>
      </c>
      <c r="H1111">
        <f>IF(AND(ISNUMBER(C1111),C1111&gt;='Bulk Calculator'!U96/('Bulk Calculator'!J96*'Bulk Calculator'!L96)),1,0)</f>
        <v>1</v>
      </c>
      <c r="I1111">
        <f>IFERROR(IF(AND(ISNUMBER(E1111),ISNUMBER(F1111),E1111&gt;0,F1111&gt;0),SQRT(3)*'Bulk Calculator'!O96*'Bulk Calculator'!AA96*((E1111*'Bulk Calculator'!Q96)+(F1111*SQRT(1-'Bulk Calculator'!Q96^2)))/'Bulk Calculator'!J96/'Bulk Calculator'!K96*100,D1111*'Bulk Calculator'!AA96*'Bulk Calculator'!O96/'Bulk Calculator'!J96/'Bulk Calculator'!K96*100),"")</f>
        <v>0</v>
      </c>
      <c r="J1111">
        <f>IFERROR(IF(AND(ISNUMBER(E1111),ISNUMBER(F1111),E1111&gt;0,F1111&gt;0),SQRT(3)*'Bulk Calculator'!O96*'Bulk Calculator'!U96*((E1111*'Bulk Calculator'!M96)+(F1111*SQRT(1-'Bulk Calculator'!M96^2)))/'Bulk Calculator'!J96/'Bulk Calculator'!K96*100,D1111*'Bulk Calculator'!U96*'Bulk Calculator'!O96/'Bulk Calculator'!J96/'Bulk Calculator'!K96*100),"")</f>
        <v>0</v>
      </c>
      <c r="K1111">
        <f>IFERROR(G1111*B1111*'Bulk Calculator'!J96/SQRT('Bulk Calculator'!S96)/1000,"")</f>
        <v>38.370926493896391</v>
      </c>
      <c r="L1111">
        <f>IF(OR('Bulk Calculator'!R96="",'Bulk Calculator'!S96="",G1111=""),0,IF(K1111&gt;='Bulk Calculator'!R96,1,0))</f>
        <v>1</v>
      </c>
      <c r="M1111">
        <f>IF(AND(H1111=1,I1111&lt;='OS-DORAEN'!$B$6,J1111&lt;='OS-DORAEN'!$B$5,L1111=1),1,0)</f>
        <v>1</v>
      </c>
      <c r="N1111" t="str">
        <f t="shared" si="17"/>
        <v>R/X</v>
      </c>
    </row>
    <row r="1112" spans="1:14" ht="15" customHeight="1" x14ac:dyDescent="0.35">
      <c r="A1112">
        <v>96</v>
      </c>
      <c r="B1112">
        <v>95</v>
      </c>
      <c r="C1112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Master'!$F:$F,B1112),"")</f>
        <v>221</v>
      </c>
      <c r="D1112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Master'!$F:$F,B1112),"")</f>
        <v>0.41</v>
      </c>
      <c r="E1112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Master'!$F:$F,B1112),"")</f>
        <v>0.41</v>
      </c>
      <c r="F1112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Master'!$F:$F,B1112),"")</f>
        <v>7.3999999999999996E-2</v>
      </c>
      <c r="G1112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Master'!$F:$F,B1112),"")</f>
        <v>143</v>
      </c>
      <c r="H1112">
        <f>IF(AND(ISNUMBER(C1112),C1112&gt;='Bulk Calculator'!U96/('Bulk Calculator'!J96*'Bulk Calculator'!L96)),1,0)</f>
        <v>1</v>
      </c>
      <c r="I1112">
        <f>IFERROR(IF(AND(ISNUMBER(E1112),ISNUMBER(F1112),E1112&gt;0,F1112&gt;0),SQRT(3)*'Bulk Calculator'!O96*'Bulk Calculator'!AA96*((E1112*'Bulk Calculator'!Q96)+(F1112*SQRT(1-'Bulk Calculator'!Q96^2)))/'Bulk Calculator'!J96/'Bulk Calculator'!K96*100,D1112*'Bulk Calculator'!AA96*'Bulk Calculator'!O96/'Bulk Calculator'!J96/'Bulk Calculator'!K96*100),"")</f>
        <v>0</v>
      </c>
      <c r="J1112">
        <f>IFERROR(IF(AND(ISNUMBER(E1112),ISNUMBER(F1112),E1112&gt;0,F1112&gt;0),SQRT(3)*'Bulk Calculator'!O96*'Bulk Calculator'!U96*((E1112*'Bulk Calculator'!M96)+(F1112*SQRT(1-'Bulk Calculator'!M96^2)))/'Bulk Calculator'!J96/'Bulk Calculator'!K96*100,D1112*'Bulk Calculator'!U96*'Bulk Calculator'!O96/'Bulk Calculator'!J96/'Bulk Calculator'!K96*100),"")</f>
        <v>0</v>
      </c>
      <c r="K1112">
        <f>IFERROR(G1112*B1112*'Bulk Calculator'!J96/SQRT('Bulk Calculator'!S96)/1000,"")</f>
        <v>30.376983474334644</v>
      </c>
      <c r="L1112">
        <f>IF(OR('Bulk Calculator'!R96="",'Bulk Calculator'!S96="",G1112=""),0,IF(K1112&gt;='Bulk Calculator'!R96,1,0))</f>
        <v>1</v>
      </c>
      <c r="M1112">
        <f>IF(AND(H1112=1,I1112&lt;='OS-DORAEN'!$B$6,J1112&lt;='OS-DORAEN'!$B$5,L1112=1),1,0)</f>
        <v>1</v>
      </c>
      <c r="N1112" t="str">
        <f t="shared" si="17"/>
        <v>R/X</v>
      </c>
    </row>
    <row r="1113" spans="1:14" ht="15" customHeight="1" x14ac:dyDescent="0.35">
      <c r="A1113">
        <v>96</v>
      </c>
      <c r="B1113">
        <v>70</v>
      </c>
      <c r="C1113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Master'!$F:$F,B1113),"")</f>
        <v>179</v>
      </c>
      <c r="D1113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Master'!$F:$F,B1113),"")</f>
        <v>0.56699999999999995</v>
      </c>
      <c r="E1113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Master'!$F:$F,B1113),"")</f>
        <v>0.56699999999999995</v>
      </c>
      <c r="F1113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Master'!$F:$F,B1113),"")</f>
        <v>7.6999999999999999E-2</v>
      </c>
      <c r="G1113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Master'!$F:$F,B1113),"")</f>
        <v>143</v>
      </c>
      <c r="H1113">
        <f>IF(AND(ISNUMBER(C1113),C1113&gt;='Bulk Calculator'!U96/('Bulk Calculator'!J96*'Bulk Calculator'!L96)),1,0)</f>
        <v>1</v>
      </c>
      <c r="I1113">
        <f>IFERROR(IF(AND(ISNUMBER(E1113),ISNUMBER(F1113),E1113&gt;0,F1113&gt;0),SQRT(3)*'Bulk Calculator'!O96*'Bulk Calculator'!AA96*((E1113*'Bulk Calculator'!Q96)+(F1113*SQRT(1-'Bulk Calculator'!Q96^2)))/'Bulk Calculator'!J96/'Bulk Calculator'!K96*100,D1113*'Bulk Calculator'!AA96*'Bulk Calculator'!O96/'Bulk Calculator'!J96/'Bulk Calculator'!K96*100),"")</f>
        <v>0</v>
      </c>
      <c r="J1113">
        <f>IFERROR(IF(AND(ISNUMBER(E1113),ISNUMBER(F1113),E1113&gt;0,F1113&gt;0),SQRT(3)*'Bulk Calculator'!O96*'Bulk Calculator'!U96*((E1113*'Bulk Calculator'!M96)+(F1113*SQRT(1-'Bulk Calculator'!M96^2)))/'Bulk Calculator'!J96/'Bulk Calculator'!K96*100,D1113*'Bulk Calculator'!U96*'Bulk Calculator'!O96/'Bulk Calculator'!J96/'Bulk Calculator'!K96*100),"")</f>
        <v>0</v>
      </c>
      <c r="K1113">
        <f>IFERROR(G1113*B1113*'Bulk Calculator'!J96/SQRT('Bulk Calculator'!S96)/1000,"")</f>
        <v>22.383040454772893</v>
      </c>
      <c r="L1113">
        <f>IF(OR('Bulk Calculator'!R96="",'Bulk Calculator'!S96="",G1113=""),0,IF(K1113&gt;='Bulk Calculator'!R96,1,0))</f>
        <v>1</v>
      </c>
      <c r="M1113">
        <f>IF(AND(H1113=1,I1113&lt;='OS-DORAEN'!$B$6,J1113&lt;='OS-DORAEN'!$B$5,L1113=1),1,0)</f>
        <v>1</v>
      </c>
      <c r="N1113" t="str">
        <f t="shared" si="17"/>
        <v>R/X</v>
      </c>
    </row>
    <row r="1114" spans="1:14" ht="15" customHeight="1" x14ac:dyDescent="0.35">
      <c r="A1114">
        <v>96</v>
      </c>
      <c r="B1114">
        <v>50</v>
      </c>
      <c r="C1114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Master'!$F:$F,B1114),"")</f>
        <v>142</v>
      </c>
      <c r="D1114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Master'!$F:$F,B1114),"")</f>
        <v>0.82</v>
      </c>
      <c r="E1114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Master'!$F:$F,B1114),"")</f>
        <v>0.82</v>
      </c>
      <c r="F1114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Master'!$F:$F,B1114),"")</f>
        <v>7.8E-2</v>
      </c>
      <c r="G1114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Master'!$F:$F,B1114),"")</f>
        <v>143</v>
      </c>
      <c r="H1114">
        <f>IF(AND(ISNUMBER(C1114),C1114&gt;='Bulk Calculator'!U96/('Bulk Calculator'!J96*'Bulk Calculator'!L96)),1,0)</f>
        <v>1</v>
      </c>
      <c r="I1114">
        <f>IFERROR(IF(AND(ISNUMBER(E1114),ISNUMBER(F1114),E1114&gt;0,F1114&gt;0),SQRT(3)*'Bulk Calculator'!O96*'Bulk Calculator'!AA96*((E1114*'Bulk Calculator'!Q96)+(F1114*SQRT(1-'Bulk Calculator'!Q96^2)))/'Bulk Calculator'!J96/'Bulk Calculator'!K96*100,D1114*'Bulk Calculator'!AA96*'Bulk Calculator'!O96/'Bulk Calculator'!J96/'Bulk Calculator'!K96*100),"")</f>
        <v>0</v>
      </c>
      <c r="J1114">
        <f>IFERROR(IF(AND(ISNUMBER(E1114),ISNUMBER(F1114),E1114&gt;0,F1114&gt;0),SQRT(3)*'Bulk Calculator'!O96*'Bulk Calculator'!U96*((E1114*'Bulk Calculator'!M96)+(F1114*SQRT(1-'Bulk Calculator'!M96^2)))/'Bulk Calculator'!J96/'Bulk Calculator'!K96*100,D1114*'Bulk Calculator'!U96*'Bulk Calculator'!O96/'Bulk Calculator'!J96/'Bulk Calculator'!K96*100),"")</f>
        <v>0</v>
      </c>
      <c r="K1114">
        <f>IFERROR(G1114*B1114*'Bulk Calculator'!J96/SQRT('Bulk Calculator'!S96)/1000,"")</f>
        <v>15.987886039123497</v>
      </c>
      <c r="L1114">
        <f>IF(OR('Bulk Calculator'!R96="",'Bulk Calculator'!S96="",G1114=""),0,IF(K1114&gt;='Bulk Calculator'!R96,1,0))</f>
        <v>1</v>
      </c>
      <c r="M1114">
        <f>IF(AND(H1114=1,I1114&lt;='OS-DORAEN'!$B$6,J1114&lt;='OS-DORAEN'!$B$5,L1114=1),1,0)</f>
        <v>1</v>
      </c>
      <c r="N1114" t="str">
        <f t="shared" si="17"/>
        <v>R/X</v>
      </c>
    </row>
    <row r="1115" spans="1:14" ht="15" customHeight="1" x14ac:dyDescent="0.35">
      <c r="A1115">
        <v>96</v>
      </c>
      <c r="B1115">
        <v>35</v>
      </c>
      <c r="C1115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Master'!$F:$F,B1115),"")</f>
        <v>117</v>
      </c>
      <c r="D1115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Master'!$F:$F,B1115),"")</f>
        <v>1.1100000000000001</v>
      </c>
      <c r="E1115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Master'!$F:$F,B1115),"")</f>
        <v>1.1100000000000001</v>
      </c>
      <c r="F1115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Master'!$F:$F,B1115),"")</f>
        <v>0.08</v>
      </c>
      <c r="G1115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Master'!$F:$F,B1115),"")</f>
        <v>143</v>
      </c>
      <c r="H1115">
        <f>IF(AND(ISNUMBER(C1115),C1115&gt;='Bulk Calculator'!U96/('Bulk Calculator'!J96*'Bulk Calculator'!L96)),1,0)</f>
        <v>1</v>
      </c>
      <c r="I1115">
        <f>IFERROR(IF(AND(ISNUMBER(E1115),ISNUMBER(F1115),E1115&gt;0,F1115&gt;0),SQRT(3)*'Bulk Calculator'!O96*'Bulk Calculator'!AA96*((E1115*'Bulk Calculator'!Q96)+(F1115*SQRT(1-'Bulk Calculator'!Q96^2)))/'Bulk Calculator'!J96/'Bulk Calculator'!K96*100,D1115*'Bulk Calculator'!AA96*'Bulk Calculator'!O96/'Bulk Calculator'!J96/'Bulk Calculator'!K96*100),"")</f>
        <v>0</v>
      </c>
      <c r="J1115">
        <f>IFERROR(IF(AND(ISNUMBER(E1115),ISNUMBER(F1115),E1115&gt;0,F1115&gt;0),SQRT(3)*'Bulk Calculator'!O96*'Bulk Calculator'!U96*((E1115*'Bulk Calculator'!M96)+(F1115*SQRT(1-'Bulk Calculator'!M96^2)))/'Bulk Calculator'!J96/'Bulk Calculator'!K96*100,D1115*'Bulk Calculator'!U96*'Bulk Calculator'!O96/'Bulk Calculator'!J96/'Bulk Calculator'!K96*100),"")</f>
        <v>0</v>
      </c>
      <c r="K1115">
        <f>IFERROR(G1115*B1115*'Bulk Calculator'!J96/SQRT('Bulk Calculator'!S96)/1000,"")</f>
        <v>11.191520227386446</v>
      </c>
      <c r="L1115">
        <f>IF(OR('Bulk Calculator'!R96="",'Bulk Calculator'!S96="",G1115=""),0,IF(K1115&gt;='Bulk Calculator'!R96,1,0))</f>
        <v>1</v>
      </c>
      <c r="M1115">
        <f>IF(AND(H1115=1,I1115&lt;='OS-DORAEN'!$B$6,J1115&lt;='OS-DORAEN'!$B$5,L1115=1),1,0)</f>
        <v>1</v>
      </c>
      <c r="N1115" t="str">
        <f t="shared" si="17"/>
        <v>R/X</v>
      </c>
    </row>
    <row r="1116" spans="1:14" ht="15" customHeight="1" x14ac:dyDescent="0.35">
      <c r="A1116">
        <v>96</v>
      </c>
      <c r="B1116">
        <v>25</v>
      </c>
      <c r="C1116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Master'!$F:$F,B1116),"")</f>
        <v>96</v>
      </c>
      <c r="D1116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Master'!$F:$F,B1116),"")</f>
        <v>1.54</v>
      </c>
      <c r="E1116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Master'!$F:$F,B1116),"")</f>
        <v>1.54</v>
      </c>
      <c r="F1116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Master'!$F:$F,B1116),"")</f>
        <v>0.08</v>
      </c>
      <c r="G1116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Master'!$F:$F,B1116),"")</f>
        <v>143</v>
      </c>
      <c r="H1116">
        <f>IF(AND(ISNUMBER(C1116),C1116&gt;='Bulk Calculator'!U96/('Bulk Calculator'!J96*'Bulk Calculator'!L96)),1,0)</f>
        <v>1</v>
      </c>
      <c r="I1116">
        <f>IFERROR(IF(AND(ISNUMBER(E1116),ISNUMBER(F1116),E1116&gt;0,F1116&gt;0),SQRT(3)*'Bulk Calculator'!O96*'Bulk Calculator'!AA96*((E1116*'Bulk Calculator'!Q96)+(F1116*SQRT(1-'Bulk Calculator'!Q96^2)))/'Bulk Calculator'!J96/'Bulk Calculator'!K96*100,D1116*'Bulk Calculator'!AA96*'Bulk Calculator'!O96/'Bulk Calculator'!J96/'Bulk Calculator'!K96*100),"")</f>
        <v>0</v>
      </c>
      <c r="J1116">
        <f>IFERROR(IF(AND(ISNUMBER(E1116),ISNUMBER(F1116),E1116&gt;0,F1116&gt;0),SQRT(3)*'Bulk Calculator'!O96*'Bulk Calculator'!U96*((E1116*'Bulk Calculator'!M96)+(F1116*SQRT(1-'Bulk Calculator'!M96^2)))/'Bulk Calculator'!J96/'Bulk Calculator'!K96*100,D1116*'Bulk Calculator'!U96*'Bulk Calculator'!O96/'Bulk Calculator'!J96/'Bulk Calculator'!K96*100),"")</f>
        <v>0</v>
      </c>
      <c r="K1116">
        <f>IFERROR(G1116*B1116*'Bulk Calculator'!J96/SQRT('Bulk Calculator'!S96)/1000,"")</f>
        <v>7.9939430195617485</v>
      </c>
      <c r="L1116">
        <f>IF(OR('Bulk Calculator'!R96="",'Bulk Calculator'!S96="",G1116=""),0,IF(K1116&gt;='Bulk Calculator'!R96,1,0))</f>
        <v>1</v>
      </c>
      <c r="M1116">
        <f>IF(AND(H1116=1,I1116&lt;='OS-DORAEN'!$B$6,J1116&lt;='OS-DORAEN'!$B$5,L1116=1),1,0)</f>
        <v>1</v>
      </c>
      <c r="N1116" t="str">
        <f t="shared" si="17"/>
        <v>R/X</v>
      </c>
    </row>
    <row r="1117" spans="1:14" ht="15" customHeight="1" x14ac:dyDescent="0.35">
      <c r="A1117">
        <v>96</v>
      </c>
      <c r="B1117">
        <v>16</v>
      </c>
      <c r="C1117">
        <f>IFERROR(SUMIFS('Cable Data Master'!$G:$G,'Cable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Master'!$F:$F,B1117),"")</f>
        <v>0</v>
      </c>
      <c r="D1117">
        <f>IFERROR(SUMIFS('Cable Data Master'!$K:$K,'Cable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Master'!$F:$F,B1117),"")</f>
        <v>0</v>
      </c>
      <c r="E1117">
        <f>IFERROR(SUMIFS('Cable Data Master'!$H:$H,'Cable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Master'!$F:$F,B1117),"")</f>
        <v>0</v>
      </c>
      <c r="F1117">
        <f>IFERROR(SUMIFS('Cable Data Master'!$I:$I,'Cable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Master'!$F:$F,B1117),"")</f>
        <v>0</v>
      </c>
      <c r="G1117">
        <f>IFERROR(SUMIFS('Cable Data Master'!$J:$J,'Cable Data Master'!$A:$A,'Bulk Calculator'!$BF96,'Cable Data Master'!$B:$B,'Bulk Calculator'!$BG96,'Cable Data Master'!$C:$C,'Bulk Calculator'!$BH96,'Cable Data Master'!$D:$D,'Bulk Calculator'!$BI96,'Cable Data Master'!$E:$E,'Bulk Calculator'!$BJ96,'Cable Data Master'!$F:$F,B1117),"")</f>
        <v>0</v>
      </c>
      <c r="H1117">
        <f>IF(AND(ISNUMBER(C1117),C1117&gt;='Bulk Calculator'!U96/('Bulk Calculator'!J96*'Bulk Calculator'!L96)),1,0)</f>
        <v>1</v>
      </c>
      <c r="I1117">
        <f>IFERROR(IF(AND(ISNUMBER(E1117),ISNUMBER(F1117),E1117&gt;0,F1117&gt;0),SQRT(3)*'Bulk Calculator'!O96*'Bulk Calculator'!AA96*((E1117*'Bulk Calculator'!Q96)+(F1117*SQRT(1-'Bulk Calculator'!Q96^2)))/'Bulk Calculator'!J96/'Bulk Calculator'!K96*100,D1117*'Bulk Calculator'!AA96*'Bulk Calculator'!O96/'Bulk Calculator'!J96/'Bulk Calculator'!K96*100),"")</f>
        <v>0</v>
      </c>
      <c r="J1117">
        <f>IFERROR(IF(AND(ISNUMBER(E1117),ISNUMBER(F1117),E1117&gt;0,F1117&gt;0),SQRT(3)*'Bulk Calculator'!O96*'Bulk Calculator'!U96*((E1117*'Bulk Calculator'!M96)+(F1117*SQRT(1-'Bulk Calculator'!M96^2)))/'Bulk Calculator'!J96/'Bulk Calculator'!K96*100,D1117*'Bulk Calculator'!U96*'Bulk Calculator'!O96/'Bulk Calculator'!J96/'Bulk Calculator'!K96*100),"")</f>
        <v>0</v>
      </c>
      <c r="K1117">
        <f>IFERROR(G1117*B1117*'Bulk Calculator'!J96/SQRT('Bulk Calculator'!S96)/1000,"")</f>
        <v>0</v>
      </c>
      <c r="L1117">
        <f>IF(OR('Bulk Calculator'!R96="",'Bulk Calculator'!S96="",G1117=""),0,IF(K1117&gt;='Bulk Calculator'!R96,1,0))</f>
        <v>1</v>
      </c>
      <c r="M1117">
        <f>IF(AND(H1117=1,I1117&lt;='OS-DORAEN'!$B$6,J1117&lt;='OS-DORAEN'!$B$5,L1117=1),1,0)</f>
        <v>1</v>
      </c>
      <c r="N1117" t="str">
        <f t="shared" si="17"/>
        <v>Manufacturer VD Ref</v>
      </c>
    </row>
    <row r="1118" spans="1:14" ht="15" customHeight="1" x14ac:dyDescent="0.35">
      <c r="A1118">
        <v>97</v>
      </c>
      <c r="B1118">
        <v>400</v>
      </c>
      <c r="C1118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Master'!$F:$F,B1118),"")</f>
        <v>530</v>
      </c>
      <c r="D1118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Master'!$F:$F,B1118),"")</f>
        <v>0.1023</v>
      </c>
      <c r="E1118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Master'!$F:$F,B1118),"")</f>
        <v>0.1023</v>
      </c>
      <c r="F1118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Master'!$F:$F,B1118),"")</f>
        <v>7.0000000000000007E-2</v>
      </c>
      <c r="G1118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Master'!$F:$F,B1118),"")</f>
        <v>143</v>
      </c>
      <c r="H1118">
        <f>IF(AND(ISNUMBER(C1118),C1118&gt;='Bulk Calculator'!U97/('Bulk Calculator'!J97*'Bulk Calculator'!L97)),1,0)</f>
        <v>1</v>
      </c>
      <c r="I1118">
        <f>IFERROR(IF(AND(ISNUMBER(E1118),ISNUMBER(F1118),E1118&gt;0,F1118&gt;0),SQRT(3)*'Bulk Calculator'!O97*'Bulk Calculator'!AA97*((E1118*'Bulk Calculator'!Q97)+(F1118*SQRT(1-'Bulk Calculator'!Q97^2)))/'Bulk Calculator'!J97/'Bulk Calculator'!K97*100,D1118*'Bulk Calculator'!AA97*'Bulk Calculator'!O97/'Bulk Calculator'!J97/'Bulk Calculator'!K97*100),"")</f>
        <v>0</v>
      </c>
      <c r="J1118">
        <f>IFERROR(IF(AND(ISNUMBER(E1118),ISNUMBER(F1118),E1118&gt;0,F1118&gt;0),SQRT(3)*'Bulk Calculator'!O97*'Bulk Calculator'!U97*((E1118*'Bulk Calculator'!M97)+(F1118*SQRT(1-'Bulk Calculator'!M97^2)))/'Bulk Calculator'!J97/'Bulk Calculator'!K97*100,D1118*'Bulk Calculator'!U97*'Bulk Calculator'!O97/'Bulk Calculator'!J97/'Bulk Calculator'!K97*100),"")</f>
        <v>0</v>
      </c>
      <c r="K1118">
        <f>IFERROR(G1118*B1118*'Bulk Calculator'!J97/SQRT('Bulk Calculator'!S97)/1000,"")</f>
        <v>127.90308831298798</v>
      </c>
      <c r="L1118">
        <f>IF(OR('Bulk Calculator'!R97="",'Bulk Calculator'!S97="",G1118=""),0,IF(K1118&gt;='Bulk Calculator'!R97,1,0))</f>
        <v>1</v>
      </c>
      <c r="M1118">
        <f>IF(AND(H1118=1,I1118&lt;='OS-DORAEN'!$B$6,J1118&lt;='OS-DORAEN'!$B$5,L1118=1),1,0)</f>
        <v>1</v>
      </c>
      <c r="N1118" t="str">
        <f t="shared" si="17"/>
        <v>R/X</v>
      </c>
    </row>
    <row r="1119" spans="1:14" ht="15" customHeight="1" x14ac:dyDescent="0.35">
      <c r="A1119">
        <v>97</v>
      </c>
      <c r="B1119">
        <v>300</v>
      </c>
      <c r="C1119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Master'!$F:$F,B1119),"")</f>
        <v>455</v>
      </c>
      <c r="D1119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Master'!$F:$F,B1119),"")</f>
        <v>0.13</v>
      </c>
      <c r="E1119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Master'!$F:$F,B1119),"")</f>
        <v>0.13</v>
      </c>
      <c r="F1119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Master'!$F:$F,B1119),"")</f>
        <v>7.0999999999999994E-2</v>
      </c>
      <c r="G1119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Master'!$F:$F,B1119),"")</f>
        <v>143</v>
      </c>
      <c r="H1119">
        <f>IF(AND(ISNUMBER(C1119),C1119&gt;='Bulk Calculator'!U97/('Bulk Calculator'!J97*'Bulk Calculator'!L97)),1,0)</f>
        <v>1</v>
      </c>
      <c r="I1119">
        <f>IFERROR(IF(AND(ISNUMBER(E1119),ISNUMBER(F1119),E1119&gt;0,F1119&gt;0),SQRT(3)*'Bulk Calculator'!O97*'Bulk Calculator'!AA97*((E1119*'Bulk Calculator'!Q97)+(F1119*SQRT(1-'Bulk Calculator'!Q97^2)))/'Bulk Calculator'!J97/'Bulk Calculator'!K97*100,D1119*'Bulk Calculator'!AA97*'Bulk Calculator'!O97/'Bulk Calculator'!J97/'Bulk Calculator'!K97*100),"")</f>
        <v>0</v>
      </c>
      <c r="J1119">
        <f>IFERROR(IF(AND(ISNUMBER(E1119),ISNUMBER(F1119),E1119&gt;0,F1119&gt;0),SQRT(3)*'Bulk Calculator'!O97*'Bulk Calculator'!U97*((E1119*'Bulk Calculator'!M97)+(F1119*SQRT(1-'Bulk Calculator'!M97^2)))/'Bulk Calculator'!J97/'Bulk Calculator'!K97*100,D1119*'Bulk Calculator'!U97*'Bulk Calculator'!O97/'Bulk Calculator'!J97/'Bulk Calculator'!K97*100),"")</f>
        <v>0</v>
      </c>
      <c r="K1119">
        <f>IFERROR(G1119*B1119*'Bulk Calculator'!J97/SQRT('Bulk Calculator'!S97)/1000,"")</f>
        <v>95.927316234740985</v>
      </c>
      <c r="L1119">
        <f>IF(OR('Bulk Calculator'!R97="",'Bulk Calculator'!S97="",G1119=""),0,IF(K1119&gt;='Bulk Calculator'!R97,1,0))</f>
        <v>1</v>
      </c>
      <c r="M1119">
        <f>IF(AND(H1119=1,I1119&lt;='OS-DORAEN'!$B$6,J1119&lt;='OS-DORAEN'!$B$5,L1119=1),1,0)</f>
        <v>1</v>
      </c>
      <c r="N1119" t="str">
        <f t="shared" si="17"/>
        <v>R/X</v>
      </c>
    </row>
    <row r="1120" spans="1:14" ht="15" customHeight="1" x14ac:dyDescent="0.35">
      <c r="A1120">
        <v>97</v>
      </c>
      <c r="B1120">
        <v>240</v>
      </c>
      <c r="C1120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Master'!$F:$F,B1120),"")</f>
        <v>399</v>
      </c>
      <c r="D1120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Master'!$F:$F,B1120),"")</f>
        <v>0.16200000000000001</v>
      </c>
      <c r="E1120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Master'!$F:$F,B1120),"")</f>
        <v>0.16200000000000001</v>
      </c>
      <c r="F1120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Master'!$F:$F,B1120),"")</f>
        <v>7.1999999999999995E-2</v>
      </c>
      <c r="G1120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Master'!$F:$F,B1120),"")</f>
        <v>143</v>
      </c>
      <c r="H1120">
        <f>IF(AND(ISNUMBER(C1120),C1120&gt;='Bulk Calculator'!U97/('Bulk Calculator'!J97*'Bulk Calculator'!L97)),1,0)</f>
        <v>1</v>
      </c>
      <c r="I1120">
        <f>IFERROR(IF(AND(ISNUMBER(E1120),ISNUMBER(F1120),E1120&gt;0,F1120&gt;0),SQRT(3)*'Bulk Calculator'!O97*'Bulk Calculator'!AA97*((E1120*'Bulk Calculator'!Q97)+(F1120*SQRT(1-'Bulk Calculator'!Q97^2)))/'Bulk Calculator'!J97/'Bulk Calculator'!K97*100,D1120*'Bulk Calculator'!AA97*'Bulk Calculator'!O97/'Bulk Calculator'!J97/'Bulk Calculator'!K97*100),"")</f>
        <v>0</v>
      </c>
      <c r="J1120">
        <f>IFERROR(IF(AND(ISNUMBER(E1120),ISNUMBER(F1120),E1120&gt;0,F1120&gt;0),SQRT(3)*'Bulk Calculator'!O97*'Bulk Calculator'!U97*((E1120*'Bulk Calculator'!M97)+(F1120*SQRT(1-'Bulk Calculator'!M97^2)))/'Bulk Calculator'!J97/'Bulk Calculator'!K97*100,D1120*'Bulk Calculator'!U97*'Bulk Calculator'!O97/'Bulk Calculator'!J97/'Bulk Calculator'!K97*100),"")</f>
        <v>0</v>
      </c>
      <c r="K1120">
        <f>IFERROR(G1120*B1120*'Bulk Calculator'!J97/SQRT('Bulk Calculator'!S97)/1000,"")</f>
        <v>76.741852987792782</v>
      </c>
      <c r="L1120">
        <f>IF(OR('Bulk Calculator'!R97="",'Bulk Calculator'!S97="",G1120=""),0,IF(K1120&gt;='Bulk Calculator'!R97,1,0))</f>
        <v>1</v>
      </c>
      <c r="M1120">
        <f>IF(AND(H1120=1,I1120&lt;='OS-DORAEN'!$B$6,J1120&lt;='OS-DORAEN'!$B$5,L1120=1),1,0)</f>
        <v>1</v>
      </c>
      <c r="N1120" t="str">
        <f t="shared" si="17"/>
        <v>R/X</v>
      </c>
    </row>
    <row r="1121" spans="1:14" ht="15" customHeight="1" x14ac:dyDescent="0.35">
      <c r="A1121">
        <v>97</v>
      </c>
      <c r="B1121">
        <v>185</v>
      </c>
      <c r="C1121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Master'!$F:$F,B1121),"")</f>
        <v>337</v>
      </c>
      <c r="D1121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Master'!$F:$F,B1121),"")</f>
        <v>0.21099999999999999</v>
      </c>
      <c r="E1121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Master'!$F:$F,B1121),"")</f>
        <v>0.21099999999999999</v>
      </c>
      <c r="F1121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Master'!$F:$F,B1121),"")</f>
        <v>7.1999999999999995E-2</v>
      </c>
      <c r="G1121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Master'!$F:$F,B1121),"")</f>
        <v>143</v>
      </c>
      <c r="H1121">
        <f>IF(AND(ISNUMBER(C1121),C1121&gt;='Bulk Calculator'!U97/('Bulk Calculator'!J97*'Bulk Calculator'!L97)),1,0)</f>
        <v>1</v>
      </c>
      <c r="I1121">
        <f>IFERROR(IF(AND(ISNUMBER(E1121),ISNUMBER(F1121),E1121&gt;0,F1121&gt;0),SQRT(3)*'Bulk Calculator'!O97*'Bulk Calculator'!AA97*((E1121*'Bulk Calculator'!Q97)+(F1121*SQRT(1-'Bulk Calculator'!Q97^2)))/'Bulk Calculator'!J97/'Bulk Calculator'!K97*100,D1121*'Bulk Calculator'!AA97*'Bulk Calculator'!O97/'Bulk Calculator'!J97/'Bulk Calculator'!K97*100),"")</f>
        <v>0</v>
      </c>
      <c r="J1121">
        <f>IFERROR(IF(AND(ISNUMBER(E1121),ISNUMBER(F1121),E1121&gt;0,F1121&gt;0),SQRT(3)*'Bulk Calculator'!O97*'Bulk Calculator'!U97*((E1121*'Bulk Calculator'!M97)+(F1121*SQRT(1-'Bulk Calculator'!M97^2)))/'Bulk Calculator'!J97/'Bulk Calculator'!K97*100,D1121*'Bulk Calculator'!U97*'Bulk Calculator'!O97/'Bulk Calculator'!J97/'Bulk Calculator'!K97*100),"")</f>
        <v>0</v>
      </c>
      <c r="K1121">
        <f>IFERROR(G1121*B1121*'Bulk Calculator'!J97/SQRT('Bulk Calculator'!S97)/1000,"")</f>
        <v>59.155178344756941</v>
      </c>
      <c r="L1121">
        <f>IF(OR('Bulk Calculator'!R97="",'Bulk Calculator'!S97="",G1121=""),0,IF(K1121&gt;='Bulk Calculator'!R97,1,0))</f>
        <v>1</v>
      </c>
      <c r="M1121">
        <f>IF(AND(H1121=1,I1121&lt;='OS-DORAEN'!$B$6,J1121&lt;='OS-DORAEN'!$B$5,L1121=1),1,0)</f>
        <v>1</v>
      </c>
      <c r="N1121" t="str">
        <f t="shared" si="17"/>
        <v>R/X</v>
      </c>
    </row>
    <row r="1122" spans="1:14" ht="15" customHeight="1" x14ac:dyDescent="0.35">
      <c r="A1122">
        <v>97</v>
      </c>
      <c r="B1122">
        <v>150</v>
      </c>
      <c r="C1122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Master'!$F:$F,B1122),"")</f>
        <v>292</v>
      </c>
      <c r="D1122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Master'!$F:$F,B1122),"")</f>
        <v>0.26500000000000001</v>
      </c>
      <c r="E1122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Master'!$F:$F,B1122),"")</f>
        <v>0.26500000000000001</v>
      </c>
      <c r="F1122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Master'!$F:$F,B1122),"")</f>
        <v>7.1999999999999995E-2</v>
      </c>
      <c r="G1122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Master'!$F:$F,B1122),"")</f>
        <v>143</v>
      </c>
      <c r="H1122">
        <f>IF(AND(ISNUMBER(C1122),C1122&gt;='Bulk Calculator'!U97/('Bulk Calculator'!J97*'Bulk Calculator'!L97)),1,0)</f>
        <v>1</v>
      </c>
      <c r="I1122">
        <f>IFERROR(IF(AND(ISNUMBER(E1122),ISNUMBER(F1122),E1122&gt;0,F1122&gt;0),SQRT(3)*'Bulk Calculator'!O97*'Bulk Calculator'!AA97*((E1122*'Bulk Calculator'!Q97)+(F1122*SQRT(1-'Bulk Calculator'!Q97^2)))/'Bulk Calculator'!J97/'Bulk Calculator'!K97*100,D1122*'Bulk Calculator'!AA97*'Bulk Calculator'!O97/'Bulk Calculator'!J97/'Bulk Calculator'!K97*100),"")</f>
        <v>0</v>
      </c>
      <c r="J1122">
        <f>IFERROR(IF(AND(ISNUMBER(E1122),ISNUMBER(F1122),E1122&gt;0,F1122&gt;0),SQRT(3)*'Bulk Calculator'!O97*'Bulk Calculator'!U97*((E1122*'Bulk Calculator'!M97)+(F1122*SQRT(1-'Bulk Calculator'!M97^2)))/'Bulk Calculator'!J97/'Bulk Calculator'!K97*100,D1122*'Bulk Calculator'!U97*'Bulk Calculator'!O97/'Bulk Calculator'!J97/'Bulk Calculator'!K97*100),"")</f>
        <v>0</v>
      </c>
      <c r="K1122">
        <f>IFERROR(G1122*B1122*'Bulk Calculator'!J97/SQRT('Bulk Calculator'!S97)/1000,"")</f>
        <v>47.963658117370493</v>
      </c>
      <c r="L1122">
        <f>IF(OR('Bulk Calculator'!R97="",'Bulk Calculator'!S97="",G1122=""),0,IF(K1122&gt;='Bulk Calculator'!R97,1,0))</f>
        <v>1</v>
      </c>
      <c r="M1122">
        <f>IF(AND(H1122=1,I1122&lt;='OS-DORAEN'!$B$6,J1122&lt;='OS-DORAEN'!$B$5,L1122=1),1,0)</f>
        <v>1</v>
      </c>
      <c r="N1122" t="str">
        <f t="shared" si="17"/>
        <v>R/X</v>
      </c>
    </row>
    <row r="1123" spans="1:14" ht="15" customHeight="1" x14ac:dyDescent="0.35">
      <c r="A1123">
        <v>97</v>
      </c>
      <c r="B1123">
        <v>120</v>
      </c>
      <c r="C1123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Master'!$F:$F,B1123),"")</f>
        <v>257</v>
      </c>
      <c r="D1123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Master'!$F:$F,B1123),"")</f>
        <v>0.32500000000000001</v>
      </c>
      <c r="E1123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Master'!$F:$F,B1123),"")</f>
        <v>0.32500000000000001</v>
      </c>
      <c r="F1123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Master'!$F:$F,B1123),"")</f>
        <v>7.1999999999999995E-2</v>
      </c>
      <c r="G1123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Master'!$F:$F,B1123),"")</f>
        <v>143</v>
      </c>
      <c r="H1123">
        <f>IF(AND(ISNUMBER(C1123),C1123&gt;='Bulk Calculator'!U97/('Bulk Calculator'!J97*'Bulk Calculator'!L97)),1,0)</f>
        <v>1</v>
      </c>
      <c r="I1123">
        <f>IFERROR(IF(AND(ISNUMBER(E1123),ISNUMBER(F1123),E1123&gt;0,F1123&gt;0),SQRT(3)*'Bulk Calculator'!O97*'Bulk Calculator'!AA97*((E1123*'Bulk Calculator'!Q97)+(F1123*SQRT(1-'Bulk Calculator'!Q97^2)))/'Bulk Calculator'!J97/'Bulk Calculator'!K97*100,D1123*'Bulk Calculator'!AA97*'Bulk Calculator'!O97/'Bulk Calculator'!J97/'Bulk Calculator'!K97*100),"")</f>
        <v>0</v>
      </c>
      <c r="J1123">
        <f>IFERROR(IF(AND(ISNUMBER(E1123),ISNUMBER(F1123),E1123&gt;0,F1123&gt;0),SQRT(3)*'Bulk Calculator'!O97*'Bulk Calculator'!U97*((E1123*'Bulk Calculator'!M97)+(F1123*SQRT(1-'Bulk Calculator'!M97^2)))/'Bulk Calculator'!J97/'Bulk Calculator'!K97*100,D1123*'Bulk Calculator'!U97*'Bulk Calculator'!O97/'Bulk Calculator'!J97/'Bulk Calculator'!K97*100),"")</f>
        <v>0</v>
      </c>
      <c r="K1123">
        <f>IFERROR(G1123*B1123*'Bulk Calculator'!J97/SQRT('Bulk Calculator'!S97)/1000,"")</f>
        <v>38.370926493896391</v>
      </c>
      <c r="L1123">
        <f>IF(OR('Bulk Calculator'!R97="",'Bulk Calculator'!S97="",G1123=""),0,IF(K1123&gt;='Bulk Calculator'!R97,1,0))</f>
        <v>1</v>
      </c>
      <c r="M1123">
        <f>IF(AND(H1123=1,I1123&lt;='OS-DORAEN'!$B$6,J1123&lt;='OS-DORAEN'!$B$5,L1123=1),1,0)</f>
        <v>1</v>
      </c>
      <c r="N1123" t="str">
        <f t="shared" si="17"/>
        <v>R/X</v>
      </c>
    </row>
    <row r="1124" spans="1:14" ht="15" customHeight="1" x14ac:dyDescent="0.35">
      <c r="A1124">
        <v>97</v>
      </c>
      <c r="B1124">
        <v>95</v>
      </c>
      <c r="C1124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Master'!$F:$F,B1124),"")</f>
        <v>221</v>
      </c>
      <c r="D1124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Master'!$F:$F,B1124),"")</f>
        <v>0.41</v>
      </c>
      <c r="E1124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Master'!$F:$F,B1124),"")</f>
        <v>0.41</v>
      </c>
      <c r="F1124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Master'!$F:$F,B1124),"")</f>
        <v>7.3999999999999996E-2</v>
      </c>
      <c r="G1124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Master'!$F:$F,B1124),"")</f>
        <v>143</v>
      </c>
      <c r="H1124">
        <f>IF(AND(ISNUMBER(C1124),C1124&gt;='Bulk Calculator'!U97/('Bulk Calculator'!J97*'Bulk Calculator'!L97)),1,0)</f>
        <v>1</v>
      </c>
      <c r="I1124">
        <f>IFERROR(IF(AND(ISNUMBER(E1124),ISNUMBER(F1124),E1124&gt;0,F1124&gt;0),SQRT(3)*'Bulk Calculator'!O97*'Bulk Calculator'!AA97*((E1124*'Bulk Calculator'!Q97)+(F1124*SQRT(1-'Bulk Calculator'!Q97^2)))/'Bulk Calculator'!J97/'Bulk Calculator'!K97*100,D1124*'Bulk Calculator'!AA97*'Bulk Calculator'!O97/'Bulk Calculator'!J97/'Bulk Calculator'!K97*100),"")</f>
        <v>0</v>
      </c>
      <c r="J1124">
        <f>IFERROR(IF(AND(ISNUMBER(E1124),ISNUMBER(F1124),E1124&gt;0,F1124&gt;0),SQRT(3)*'Bulk Calculator'!O97*'Bulk Calculator'!U97*((E1124*'Bulk Calculator'!M97)+(F1124*SQRT(1-'Bulk Calculator'!M97^2)))/'Bulk Calculator'!J97/'Bulk Calculator'!K97*100,D1124*'Bulk Calculator'!U97*'Bulk Calculator'!O97/'Bulk Calculator'!J97/'Bulk Calculator'!K97*100),"")</f>
        <v>0</v>
      </c>
      <c r="K1124">
        <f>IFERROR(G1124*B1124*'Bulk Calculator'!J97/SQRT('Bulk Calculator'!S97)/1000,"")</f>
        <v>30.376983474334644</v>
      </c>
      <c r="L1124">
        <f>IF(OR('Bulk Calculator'!R97="",'Bulk Calculator'!S97="",G1124=""),0,IF(K1124&gt;='Bulk Calculator'!R97,1,0))</f>
        <v>1</v>
      </c>
      <c r="M1124">
        <f>IF(AND(H1124=1,I1124&lt;='OS-DORAEN'!$B$6,J1124&lt;='OS-DORAEN'!$B$5,L1124=1),1,0)</f>
        <v>1</v>
      </c>
      <c r="N1124" t="str">
        <f t="shared" si="17"/>
        <v>R/X</v>
      </c>
    </row>
    <row r="1125" spans="1:14" ht="15" customHeight="1" x14ac:dyDescent="0.35">
      <c r="A1125">
        <v>97</v>
      </c>
      <c r="B1125">
        <v>70</v>
      </c>
      <c r="C1125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Master'!$F:$F,B1125),"")</f>
        <v>179</v>
      </c>
      <c r="D1125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Master'!$F:$F,B1125),"")</f>
        <v>0.56699999999999995</v>
      </c>
      <c r="E1125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Master'!$F:$F,B1125),"")</f>
        <v>0.56699999999999995</v>
      </c>
      <c r="F1125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Master'!$F:$F,B1125),"")</f>
        <v>7.6999999999999999E-2</v>
      </c>
      <c r="G1125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Master'!$F:$F,B1125),"")</f>
        <v>143</v>
      </c>
      <c r="H1125">
        <f>IF(AND(ISNUMBER(C1125),C1125&gt;='Bulk Calculator'!U97/('Bulk Calculator'!J97*'Bulk Calculator'!L97)),1,0)</f>
        <v>1</v>
      </c>
      <c r="I1125">
        <f>IFERROR(IF(AND(ISNUMBER(E1125),ISNUMBER(F1125),E1125&gt;0,F1125&gt;0),SQRT(3)*'Bulk Calculator'!O97*'Bulk Calculator'!AA97*((E1125*'Bulk Calculator'!Q97)+(F1125*SQRT(1-'Bulk Calculator'!Q97^2)))/'Bulk Calculator'!J97/'Bulk Calculator'!K97*100,D1125*'Bulk Calculator'!AA97*'Bulk Calculator'!O97/'Bulk Calculator'!J97/'Bulk Calculator'!K97*100),"")</f>
        <v>0</v>
      </c>
      <c r="J1125">
        <f>IFERROR(IF(AND(ISNUMBER(E1125),ISNUMBER(F1125),E1125&gt;0,F1125&gt;0),SQRT(3)*'Bulk Calculator'!O97*'Bulk Calculator'!U97*((E1125*'Bulk Calculator'!M97)+(F1125*SQRT(1-'Bulk Calculator'!M97^2)))/'Bulk Calculator'!J97/'Bulk Calculator'!K97*100,D1125*'Bulk Calculator'!U97*'Bulk Calculator'!O97/'Bulk Calculator'!J97/'Bulk Calculator'!K97*100),"")</f>
        <v>0</v>
      </c>
      <c r="K1125">
        <f>IFERROR(G1125*B1125*'Bulk Calculator'!J97/SQRT('Bulk Calculator'!S97)/1000,"")</f>
        <v>22.383040454772893</v>
      </c>
      <c r="L1125">
        <f>IF(OR('Bulk Calculator'!R97="",'Bulk Calculator'!S97="",G1125=""),0,IF(K1125&gt;='Bulk Calculator'!R97,1,0))</f>
        <v>1</v>
      </c>
      <c r="M1125">
        <f>IF(AND(H1125=1,I1125&lt;='OS-DORAEN'!$B$6,J1125&lt;='OS-DORAEN'!$B$5,L1125=1),1,0)</f>
        <v>1</v>
      </c>
      <c r="N1125" t="str">
        <f t="shared" si="17"/>
        <v>R/X</v>
      </c>
    </row>
    <row r="1126" spans="1:14" ht="15" customHeight="1" x14ac:dyDescent="0.35">
      <c r="A1126">
        <v>97</v>
      </c>
      <c r="B1126">
        <v>50</v>
      </c>
      <c r="C1126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Master'!$F:$F,B1126),"")</f>
        <v>142</v>
      </c>
      <c r="D1126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Master'!$F:$F,B1126),"")</f>
        <v>0.82</v>
      </c>
      <c r="E1126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Master'!$F:$F,B1126),"")</f>
        <v>0.82</v>
      </c>
      <c r="F1126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Master'!$F:$F,B1126),"")</f>
        <v>7.8E-2</v>
      </c>
      <c r="G1126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Master'!$F:$F,B1126),"")</f>
        <v>143</v>
      </c>
      <c r="H1126">
        <f>IF(AND(ISNUMBER(C1126),C1126&gt;='Bulk Calculator'!U97/('Bulk Calculator'!J97*'Bulk Calculator'!L97)),1,0)</f>
        <v>1</v>
      </c>
      <c r="I1126">
        <f>IFERROR(IF(AND(ISNUMBER(E1126),ISNUMBER(F1126),E1126&gt;0,F1126&gt;0),SQRT(3)*'Bulk Calculator'!O97*'Bulk Calculator'!AA97*((E1126*'Bulk Calculator'!Q97)+(F1126*SQRT(1-'Bulk Calculator'!Q97^2)))/'Bulk Calculator'!J97/'Bulk Calculator'!K97*100,D1126*'Bulk Calculator'!AA97*'Bulk Calculator'!O97/'Bulk Calculator'!J97/'Bulk Calculator'!K97*100),"")</f>
        <v>0</v>
      </c>
      <c r="J1126">
        <f>IFERROR(IF(AND(ISNUMBER(E1126),ISNUMBER(F1126),E1126&gt;0,F1126&gt;0),SQRT(3)*'Bulk Calculator'!O97*'Bulk Calculator'!U97*((E1126*'Bulk Calculator'!M97)+(F1126*SQRT(1-'Bulk Calculator'!M97^2)))/'Bulk Calculator'!J97/'Bulk Calculator'!K97*100,D1126*'Bulk Calculator'!U97*'Bulk Calculator'!O97/'Bulk Calculator'!J97/'Bulk Calculator'!K97*100),"")</f>
        <v>0</v>
      </c>
      <c r="K1126">
        <f>IFERROR(G1126*B1126*'Bulk Calculator'!J97/SQRT('Bulk Calculator'!S97)/1000,"")</f>
        <v>15.987886039123497</v>
      </c>
      <c r="L1126">
        <f>IF(OR('Bulk Calculator'!R97="",'Bulk Calculator'!S97="",G1126=""),0,IF(K1126&gt;='Bulk Calculator'!R97,1,0))</f>
        <v>1</v>
      </c>
      <c r="M1126">
        <f>IF(AND(H1126=1,I1126&lt;='OS-DORAEN'!$B$6,J1126&lt;='OS-DORAEN'!$B$5,L1126=1),1,0)</f>
        <v>1</v>
      </c>
      <c r="N1126" t="str">
        <f t="shared" si="17"/>
        <v>R/X</v>
      </c>
    </row>
    <row r="1127" spans="1:14" ht="15" customHeight="1" x14ac:dyDescent="0.35">
      <c r="A1127">
        <v>97</v>
      </c>
      <c r="B1127">
        <v>35</v>
      </c>
      <c r="C1127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Master'!$F:$F,B1127),"")</f>
        <v>117</v>
      </c>
      <c r="D1127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Master'!$F:$F,B1127),"")</f>
        <v>1.1100000000000001</v>
      </c>
      <c r="E1127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Master'!$F:$F,B1127),"")</f>
        <v>1.1100000000000001</v>
      </c>
      <c r="F1127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Master'!$F:$F,B1127),"")</f>
        <v>0.08</v>
      </c>
      <c r="G1127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Master'!$F:$F,B1127),"")</f>
        <v>143</v>
      </c>
      <c r="H1127">
        <f>IF(AND(ISNUMBER(C1127),C1127&gt;='Bulk Calculator'!U97/('Bulk Calculator'!J97*'Bulk Calculator'!L97)),1,0)</f>
        <v>1</v>
      </c>
      <c r="I1127">
        <f>IFERROR(IF(AND(ISNUMBER(E1127),ISNUMBER(F1127),E1127&gt;0,F1127&gt;0),SQRT(3)*'Bulk Calculator'!O97*'Bulk Calculator'!AA97*((E1127*'Bulk Calculator'!Q97)+(F1127*SQRT(1-'Bulk Calculator'!Q97^2)))/'Bulk Calculator'!J97/'Bulk Calculator'!K97*100,D1127*'Bulk Calculator'!AA97*'Bulk Calculator'!O97/'Bulk Calculator'!J97/'Bulk Calculator'!K97*100),"")</f>
        <v>0</v>
      </c>
      <c r="J1127">
        <f>IFERROR(IF(AND(ISNUMBER(E1127),ISNUMBER(F1127),E1127&gt;0,F1127&gt;0),SQRT(3)*'Bulk Calculator'!O97*'Bulk Calculator'!U97*((E1127*'Bulk Calculator'!M97)+(F1127*SQRT(1-'Bulk Calculator'!M97^2)))/'Bulk Calculator'!J97/'Bulk Calculator'!K97*100,D1127*'Bulk Calculator'!U97*'Bulk Calculator'!O97/'Bulk Calculator'!J97/'Bulk Calculator'!K97*100),"")</f>
        <v>0</v>
      </c>
      <c r="K1127">
        <f>IFERROR(G1127*B1127*'Bulk Calculator'!J97/SQRT('Bulk Calculator'!S97)/1000,"")</f>
        <v>11.191520227386446</v>
      </c>
      <c r="L1127">
        <f>IF(OR('Bulk Calculator'!R97="",'Bulk Calculator'!S97="",G1127=""),0,IF(K1127&gt;='Bulk Calculator'!R97,1,0))</f>
        <v>1</v>
      </c>
      <c r="M1127">
        <f>IF(AND(H1127=1,I1127&lt;='OS-DORAEN'!$B$6,J1127&lt;='OS-DORAEN'!$B$5,L1127=1),1,0)</f>
        <v>1</v>
      </c>
      <c r="N1127" t="str">
        <f t="shared" si="17"/>
        <v>R/X</v>
      </c>
    </row>
    <row r="1128" spans="1:14" ht="15" customHeight="1" x14ac:dyDescent="0.35">
      <c r="A1128">
        <v>97</v>
      </c>
      <c r="B1128">
        <v>25</v>
      </c>
      <c r="C1128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Master'!$F:$F,B1128),"")</f>
        <v>96</v>
      </c>
      <c r="D1128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Master'!$F:$F,B1128),"")</f>
        <v>1.54</v>
      </c>
      <c r="E1128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Master'!$F:$F,B1128),"")</f>
        <v>1.54</v>
      </c>
      <c r="F1128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Master'!$F:$F,B1128),"")</f>
        <v>0.08</v>
      </c>
      <c r="G1128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Master'!$F:$F,B1128),"")</f>
        <v>143</v>
      </c>
      <c r="H1128">
        <f>IF(AND(ISNUMBER(C1128),C1128&gt;='Bulk Calculator'!U97/('Bulk Calculator'!J97*'Bulk Calculator'!L97)),1,0)</f>
        <v>1</v>
      </c>
      <c r="I1128">
        <f>IFERROR(IF(AND(ISNUMBER(E1128),ISNUMBER(F1128),E1128&gt;0,F1128&gt;0),SQRT(3)*'Bulk Calculator'!O97*'Bulk Calculator'!AA97*((E1128*'Bulk Calculator'!Q97)+(F1128*SQRT(1-'Bulk Calculator'!Q97^2)))/'Bulk Calculator'!J97/'Bulk Calculator'!K97*100,D1128*'Bulk Calculator'!AA97*'Bulk Calculator'!O97/'Bulk Calculator'!J97/'Bulk Calculator'!K97*100),"")</f>
        <v>0</v>
      </c>
      <c r="J1128">
        <f>IFERROR(IF(AND(ISNUMBER(E1128),ISNUMBER(F1128),E1128&gt;0,F1128&gt;0),SQRT(3)*'Bulk Calculator'!O97*'Bulk Calculator'!U97*((E1128*'Bulk Calculator'!M97)+(F1128*SQRT(1-'Bulk Calculator'!M97^2)))/'Bulk Calculator'!J97/'Bulk Calculator'!K97*100,D1128*'Bulk Calculator'!U97*'Bulk Calculator'!O97/'Bulk Calculator'!J97/'Bulk Calculator'!K97*100),"")</f>
        <v>0</v>
      </c>
      <c r="K1128">
        <f>IFERROR(G1128*B1128*'Bulk Calculator'!J97/SQRT('Bulk Calculator'!S97)/1000,"")</f>
        <v>7.9939430195617485</v>
      </c>
      <c r="L1128">
        <f>IF(OR('Bulk Calculator'!R97="",'Bulk Calculator'!S97="",G1128=""),0,IF(K1128&gt;='Bulk Calculator'!R97,1,0))</f>
        <v>1</v>
      </c>
      <c r="M1128">
        <f>IF(AND(H1128=1,I1128&lt;='OS-DORAEN'!$B$6,J1128&lt;='OS-DORAEN'!$B$5,L1128=1),1,0)</f>
        <v>1</v>
      </c>
      <c r="N1128" t="str">
        <f t="shared" si="17"/>
        <v>R/X</v>
      </c>
    </row>
    <row r="1129" spans="1:14" ht="15" customHeight="1" x14ac:dyDescent="0.35">
      <c r="A1129">
        <v>97</v>
      </c>
      <c r="B1129">
        <v>16</v>
      </c>
      <c r="C1129">
        <f>IFERROR(SUMIFS('Cable Data Master'!$G:$G,'Cable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Master'!$F:$F,B1129),"")</f>
        <v>0</v>
      </c>
      <c r="D1129">
        <f>IFERROR(SUMIFS('Cable Data Master'!$K:$K,'Cable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Master'!$F:$F,B1129),"")</f>
        <v>0</v>
      </c>
      <c r="E1129">
        <f>IFERROR(SUMIFS('Cable Data Master'!$H:$H,'Cable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Master'!$F:$F,B1129),"")</f>
        <v>0</v>
      </c>
      <c r="F1129">
        <f>IFERROR(SUMIFS('Cable Data Master'!$I:$I,'Cable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Master'!$F:$F,B1129),"")</f>
        <v>0</v>
      </c>
      <c r="G1129">
        <f>IFERROR(SUMIFS('Cable Data Master'!$J:$J,'Cable Data Master'!$A:$A,'Bulk Calculator'!$BF97,'Cable Data Master'!$B:$B,'Bulk Calculator'!$BG97,'Cable Data Master'!$C:$C,'Bulk Calculator'!$BH97,'Cable Data Master'!$D:$D,'Bulk Calculator'!$BI97,'Cable Data Master'!$E:$E,'Bulk Calculator'!$BJ97,'Cable Data Master'!$F:$F,B1129),"")</f>
        <v>0</v>
      </c>
      <c r="H1129">
        <f>IF(AND(ISNUMBER(C1129),C1129&gt;='Bulk Calculator'!U97/('Bulk Calculator'!J97*'Bulk Calculator'!L97)),1,0)</f>
        <v>1</v>
      </c>
      <c r="I1129">
        <f>IFERROR(IF(AND(ISNUMBER(E1129),ISNUMBER(F1129),E1129&gt;0,F1129&gt;0),SQRT(3)*'Bulk Calculator'!O97*'Bulk Calculator'!AA97*((E1129*'Bulk Calculator'!Q97)+(F1129*SQRT(1-'Bulk Calculator'!Q97^2)))/'Bulk Calculator'!J97/'Bulk Calculator'!K97*100,D1129*'Bulk Calculator'!AA97*'Bulk Calculator'!O97/'Bulk Calculator'!J97/'Bulk Calculator'!K97*100),"")</f>
        <v>0</v>
      </c>
      <c r="J1129">
        <f>IFERROR(IF(AND(ISNUMBER(E1129),ISNUMBER(F1129),E1129&gt;0,F1129&gt;0),SQRT(3)*'Bulk Calculator'!O97*'Bulk Calculator'!U97*((E1129*'Bulk Calculator'!M97)+(F1129*SQRT(1-'Bulk Calculator'!M97^2)))/'Bulk Calculator'!J97/'Bulk Calculator'!K97*100,D1129*'Bulk Calculator'!U97*'Bulk Calculator'!O97/'Bulk Calculator'!J97/'Bulk Calculator'!K97*100),"")</f>
        <v>0</v>
      </c>
      <c r="K1129">
        <f>IFERROR(G1129*B1129*'Bulk Calculator'!J97/SQRT('Bulk Calculator'!S97)/1000,"")</f>
        <v>0</v>
      </c>
      <c r="L1129">
        <f>IF(OR('Bulk Calculator'!R97="",'Bulk Calculator'!S97="",G1129=""),0,IF(K1129&gt;='Bulk Calculator'!R97,1,0))</f>
        <v>1</v>
      </c>
      <c r="M1129">
        <f>IF(AND(H1129=1,I1129&lt;='OS-DORAEN'!$B$6,J1129&lt;='OS-DORAEN'!$B$5,L1129=1),1,0)</f>
        <v>1</v>
      </c>
      <c r="N1129" t="str">
        <f t="shared" si="17"/>
        <v>Manufacturer VD Ref</v>
      </c>
    </row>
    <row r="1130" spans="1:14" ht="15" customHeight="1" x14ac:dyDescent="0.35">
      <c r="A1130">
        <v>98</v>
      </c>
      <c r="B1130">
        <v>400</v>
      </c>
      <c r="C1130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Master'!$F:$F,B1130),"")</f>
        <v>530</v>
      </c>
      <c r="D1130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Master'!$F:$F,B1130),"")</f>
        <v>0.1023</v>
      </c>
      <c r="E1130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Master'!$F:$F,B1130),"")</f>
        <v>0.1023</v>
      </c>
      <c r="F1130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Master'!$F:$F,B1130),"")</f>
        <v>7.0000000000000007E-2</v>
      </c>
      <c r="G1130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Master'!$F:$F,B1130),"")</f>
        <v>143</v>
      </c>
      <c r="H1130">
        <f>IF(AND(ISNUMBER(C1130),C1130&gt;='Bulk Calculator'!U98/('Bulk Calculator'!J98*'Bulk Calculator'!L98)),1,0)</f>
        <v>1</v>
      </c>
      <c r="I1130">
        <f>IFERROR(IF(AND(ISNUMBER(E1130),ISNUMBER(F1130),E1130&gt;0,F1130&gt;0),SQRT(3)*'Bulk Calculator'!O98*'Bulk Calculator'!AA98*((E1130*'Bulk Calculator'!Q98)+(F1130*SQRT(1-'Bulk Calculator'!Q98^2)))/'Bulk Calculator'!J98/'Bulk Calculator'!K98*100,D1130*'Bulk Calculator'!AA98*'Bulk Calculator'!O98/'Bulk Calculator'!J98/'Bulk Calculator'!K98*100),"")</f>
        <v>0</v>
      </c>
      <c r="J1130">
        <f>IFERROR(IF(AND(ISNUMBER(E1130),ISNUMBER(F1130),E1130&gt;0,F1130&gt;0),SQRT(3)*'Bulk Calculator'!O98*'Bulk Calculator'!U98*((E1130*'Bulk Calculator'!M98)+(F1130*SQRT(1-'Bulk Calculator'!M98^2)))/'Bulk Calculator'!J98/'Bulk Calculator'!K98*100,D1130*'Bulk Calculator'!U98*'Bulk Calculator'!O98/'Bulk Calculator'!J98/'Bulk Calculator'!K98*100),"")</f>
        <v>0</v>
      </c>
      <c r="K1130">
        <f>IFERROR(G1130*B1130*'Bulk Calculator'!J98/SQRT('Bulk Calculator'!S98)/1000,"")</f>
        <v>127.90308831298798</v>
      </c>
      <c r="L1130">
        <f>IF(OR('Bulk Calculator'!R98="",'Bulk Calculator'!S98="",G1130=""),0,IF(K1130&gt;='Bulk Calculator'!R98,1,0))</f>
        <v>1</v>
      </c>
      <c r="M1130">
        <f>IF(AND(H1130=1,I1130&lt;='OS-DORAEN'!$B$6,J1130&lt;='OS-DORAEN'!$B$5,L1130=1),1,0)</f>
        <v>1</v>
      </c>
      <c r="N1130" t="str">
        <f t="shared" si="17"/>
        <v>R/X</v>
      </c>
    </row>
    <row r="1131" spans="1:14" ht="15" customHeight="1" x14ac:dyDescent="0.35">
      <c r="A1131">
        <v>98</v>
      </c>
      <c r="B1131">
        <v>300</v>
      </c>
      <c r="C1131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Master'!$F:$F,B1131),"")</f>
        <v>455</v>
      </c>
      <c r="D1131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Master'!$F:$F,B1131),"")</f>
        <v>0.13</v>
      </c>
      <c r="E1131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Master'!$F:$F,B1131),"")</f>
        <v>0.13</v>
      </c>
      <c r="F1131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Master'!$F:$F,B1131),"")</f>
        <v>7.0999999999999994E-2</v>
      </c>
      <c r="G1131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Master'!$F:$F,B1131),"")</f>
        <v>143</v>
      </c>
      <c r="H1131">
        <f>IF(AND(ISNUMBER(C1131),C1131&gt;='Bulk Calculator'!U98/('Bulk Calculator'!J98*'Bulk Calculator'!L98)),1,0)</f>
        <v>1</v>
      </c>
      <c r="I1131">
        <f>IFERROR(IF(AND(ISNUMBER(E1131),ISNUMBER(F1131),E1131&gt;0,F1131&gt;0),SQRT(3)*'Bulk Calculator'!O98*'Bulk Calculator'!AA98*((E1131*'Bulk Calculator'!Q98)+(F1131*SQRT(1-'Bulk Calculator'!Q98^2)))/'Bulk Calculator'!J98/'Bulk Calculator'!K98*100,D1131*'Bulk Calculator'!AA98*'Bulk Calculator'!O98/'Bulk Calculator'!J98/'Bulk Calculator'!K98*100),"")</f>
        <v>0</v>
      </c>
      <c r="J1131">
        <f>IFERROR(IF(AND(ISNUMBER(E1131),ISNUMBER(F1131),E1131&gt;0,F1131&gt;0),SQRT(3)*'Bulk Calculator'!O98*'Bulk Calculator'!U98*((E1131*'Bulk Calculator'!M98)+(F1131*SQRT(1-'Bulk Calculator'!M98^2)))/'Bulk Calculator'!J98/'Bulk Calculator'!K98*100,D1131*'Bulk Calculator'!U98*'Bulk Calculator'!O98/'Bulk Calculator'!J98/'Bulk Calculator'!K98*100),"")</f>
        <v>0</v>
      </c>
      <c r="K1131">
        <f>IFERROR(G1131*B1131*'Bulk Calculator'!J98/SQRT('Bulk Calculator'!S98)/1000,"")</f>
        <v>95.927316234740985</v>
      </c>
      <c r="L1131">
        <f>IF(OR('Bulk Calculator'!R98="",'Bulk Calculator'!S98="",G1131=""),0,IF(K1131&gt;='Bulk Calculator'!R98,1,0))</f>
        <v>1</v>
      </c>
      <c r="M1131">
        <f>IF(AND(H1131=1,I1131&lt;='OS-DORAEN'!$B$6,J1131&lt;='OS-DORAEN'!$B$5,L1131=1),1,0)</f>
        <v>1</v>
      </c>
      <c r="N1131" t="str">
        <f t="shared" si="17"/>
        <v>R/X</v>
      </c>
    </row>
    <row r="1132" spans="1:14" ht="15" customHeight="1" x14ac:dyDescent="0.35">
      <c r="A1132">
        <v>98</v>
      </c>
      <c r="B1132">
        <v>240</v>
      </c>
      <c r="C1132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Master'!$F:$F,B1132),"")</f>
        <v>399</v>
      </c>
      <c r="D1132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Master'!$F:$F,B1132),"")</f>
        <v>0.16200000000000001</v>
      </c>
      <c r="E1132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Master'!$F:$F,B1132),"")</f>
        <v>0.16200000000000001</v>
      </c>
      <c r="F1132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Master'!$F:$F,B1132),"")</f>
        <v>7.1999999999999995E-2</v>
      </c>
      <c r="G1132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Master'!$F:$F,B1132),"")</f>
        <v>143</v>
      </c>
      <c r="H1132">
        <f>IF(AND(ISNUMBER(C1132),C1132&gt;='Bulk Calculator'!U98/('Bulk Calculator'!J98*'Bulk Calculator'!L98)),1,0)</f>
        <v>1</v>
      </c>
      <c r="I1132">
        <f>IFERROR(IF(AND(ISNUMBER(E1132),ISNUMBER(F1132),E1132&gt;0,F1132&gt;0),SQRT(3)*'Bulk Calculator'!O98*'Bulk Calculator'!AA98*((E1132*'Bulk Calculator'!Q98)+(F1132*SQRT(1-'Bulk Calculator'!Q98^2)))/'Bulk Calculator'!J98/'Bulk Calculator'!K98*100,D1132*'Bulk Calculator'!AA98*'Bulk Calculator'!O98/'Bulk Calculator'!J98/'Bulk Calculator'!K98*100),"")</f>
        <v>0</v>
      </c>
      <c r="J1132">
        <f>IFERROR(IF(AND(ISNUMBER(E1132),ISNUMBER(F1132),E1132&gt;0,F1132&gt;0),SQRT(3)*'Bulk Calculator'!O98*'Bulk Calculator'!U98*((E1132*'Bulk Calculator'!M98)+(F1132*SQRT(1-'Bulk Calculator'!M98^2)))/'Bulk Calculator'!J98/'Bulk Calculator'!K98*100,D1132*'Bulk Calculator'!U98*'Bulk Calculator'!O98/'Bulk Calculator'!J98/'Bulk Calculator'!K98*100),"")</f>
        <v>0</v>
      </c>
      <c r="K1132">
        <f>IFERROR(G1132*B1132*'Bulk Calculator'!J98/SQRT('Bulk Calculator'!S98)/1000,"")</f>
        <v>76.741852987792782</v>
      </c>
      <c r="L1132">
        <f>IF(OR('Bulk Calculator'!R98="",'Bulk Calculator'!S98="",G1132=""),0,IF(K1132&gt;='Bulk Calculator'!R98,1,0))</f>
        <v>1</v>
      </c>
      <c r="M1132">
        <f>IF(AND(H1132=1,I1132&lt;='OS-DORAEN'!$B$6,J1132&lt;='OS-DORAEN'!$B$5,L1132=1),1,0)</f>
        <v>1</v>
      </c>
      <c r="N1132" t="str">
        <f t="shared" si="17"/>
        <v>R/X</v>
      </c>
    </row>
    <row r="1133" spans="1:14" ht="15" customHeight="1" x14ac:dyDescent="0.35">
      <c r="A1133">
        <v>98</v>
      </c>
      <c r="B1133">
        <v>185</v>
      </c>
      <c r="C1133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Master'!$F:$F,B1133),"")</f>
        <v>337</v>
      </c>
      <c r="D1133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Master'!$F:$F,B1133),"")</f>
        <v>0.21099999999999999</v>
      </c>
      <c r="E1133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Master'!$F:$F,B1133),"")</f>
        <v>0.21099999999999999</v>
      </c>
      <c r="F1133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Master'!$F:$F,B1133),"")</f>
        <v>7.1999999999999995E-2</v>
      </c>
      <c r="G1133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Master'!$F:$F,B1133),"")</f>
        <v>143</v>
      </c>
      <c r="H1133">
        <f>IF(AND(ISNUMBER(C1133),C1133&gt;='Bulk Calculator'!U98/('Bulk Calculator'!J98*'Bulk Calculator'!L98)),1,0)</f>
        <v>1</v>
      </c>
      <c r="I1133">
        <f>IFERROR(IF(AND(ISNUMBER(E1133),ISNUMBER(F1133),E1133&gt;0,F1133&gt;0),SQRT(3)*'Bulk Calculator'!O98*'Bulk Calculator'!AA98*((E1133*'Bulk Calculator'!Q98)+(F1133*SQRT(1-'Bulk Calculator'!Q98^2)))/'Bulk Calculator'!J98/'Bulk Calculator'!K98*100,D1133*'Bulk Calculator'!AA98*'Bulk Calculator'!O98/'Bulk Calculator'!J98/'Bulk Calculator'!K98*100),"")</f>
        <v>0</v>
      </c>
      <c r="J1133">
        <f>IFERROR(IF(AND(ISNUMBER(E1133),ISNUMBER(F1133),E1133&gt;0,F1133&gt;0),SQRT(3)*'Bulk Calculator'!O98*'Bulk Calculator'!U98*((E1133*'Bulk Calculator'!M98)+(F1133*SQRT(1-'Bulk Calculator'!M98^2)))/'Bulk Calculator'!J98/'Bulk Calculator'!K98*100,D1133*'Bulk Calculator'!U98*'Bulk Calculator'!O98/'Bulk Calculator'!J98/'Bulk Calculator'!K98*100),"")</f>
        <v>0</v>
      </c>
      <c r="K1133">
        <f>IFERROR(G1133*B1133*'Bulk Calculator'!J98/SQRT('Bulk Calculator'!S98)/1000,"")</f>
        <v>59.155178344756941</v>
      </c>
      <c r="L1133">
        <f>IF(OR('Bulk Calculator'!R98="",'Bulk Calculator'!S98="",G1133=""),0,IF(K1133&gt;='Bulk Calculator'!R98,1,0))</f>
        <v>1</v>
      </c>
      <c r="M1133">
        <f>IF(AND(H1133=1,I1133&lt;='OS-DORAEN'!$B$6,J1133&lt;='OS-DORAEN'!$B$5,L1133=1),1,0)</f>
        <v>1</v>
      </c>
      <c r="N1133" t="str">
        <f t="shared" si="17"/>
        <v>R/X</v>
      </c>
    </row>
    <row r="1134" spans="1:14" ht="15" customHeight="1" x14ac:dyDescent="0.35">
      <c r="A1134">
        <v>98</v>
      </c>
      <c r="B1134">
        <v>150</v>
      </c>
      <c r="C1134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Master'!$F:$F,B1134),"")</f>
        <v>292</v>
      </c>
      <c r="D1134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Master'!$F:$F,B1134),"")</f>
        <v>0.26500000000000001</v>
      </c>
      <c r="E1134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Master'!$F:$F,B1134),"")</f>
        <v>0.26500000000000001</v>
      </c>
      <c r="F1134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Master'!$F:$F,B1134),"")</f>
        <v>7.1999999999999995E-2</v>
      </c>
      <c r="G1134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Master'!$F:$F,B1134),"")</f>
        <v>143</v>
      </c>
      <c r="H1134">
        <f>IF(AND(ISNUMBER(C1134),C1134&gt;='Bulk Calculator'!U98/('Bulk Calculator'!J98*'Bulk Calculator'!L98)),1,0)</f>
        <v>1</v>
      </c>
      <c r="I1134">
        <f>IFERROR(IF(AND(ISNUMBER(E1134),ISNUMBER(F1134),E1134&gt;0,F1134&gt;0),SQRT(3)*'Bulk Calculator'!O98*'Bulk Calculator'!AA98*((E1134*'Bulk Calculator'!Q98)+(F1134*SQRT(1-'Bulk Calculator'!Q98^2)))/'Bulk Calculator'!J98/'Bulk Calculator'!K98*100,D1134*'Bulk Calculator'!AA98*'Bulk Calculator'!O98/'Bulk Calculator'!J98/'Bulk Calculator'!K98*100),"")</f>
        <v>0</v>
      </c>
      <c r="J1134">
        <f>IFERROR(IF(AND(ISNUMBER(E1134),ISNUMBER(F1134),E1134&gt;0,F1134&gt;0),SQRT(3)*'Bulk Calculator'!O98*'Bulk Calculator'!U98*((E1134*'Bulk Calculator'!M98)+(F1134*SQRT(1-'Bulk Calculator'!M98^2)))/'Bulk Calculator'!J98/'Bulk Calculator'!K98*100,D1134*'Bulk Calculator'!U98*'Bulk Calculator'!O98/'Bulk Calculator'!J98/'Bulk Calculator'!K98*100),"")</f>
        <v>0</v>
      </c>
      <c r="K1134">
        <f>IFERROR(G1134*B1134*'Bulk Calculator'!J98/SQRT('Bulk Calculator'!S98)/1000,"")</f>
        <v>47.963658117370493</v>
      </c>
      <c r="L1134">
        <f>IF(OR('Bulk Calculator'!R98="",'Bulk Calculator'!S98="",G1134=""),0,IF(K1134&gt;='Bulk Calculator'!R98,1,0))</f>
        <v>1</v>
      </c>
      <c r="M1134">
        <f>IF(AND(H1134=1,I1134&lt;='OS-DORAEN'!$B$6,J1134&lt;='OS-DORAEN'!$B$5,L1134=1),1,0)</f>
        <v>1</v>
      </c>
      <c r="N1134" t="str">
        <f t="shared" si="17"/>
        <v>R/X</v>
      </c>
    </row>
    <row r="1135" spans="1:14" ht="15" customHeight="1" x14ac:dyDescent="0.35">
      <c r="A1135">
        <v>98</v>
      </c>
      <c r="B1135">
        <v>120</v>
      </c>
      <c r="C1135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Master'!$F:$F,B1135),"")</f>
        <v>257</v>
      </c>
      <c r="D1135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Master'!$F:$F,B1135),"")</f>
        <v>0.32500000000000001</v>
      </c>
      <c r="E1135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Master'!$F:$F,B1135),"")</f>
        <v>0.32500000000000001</v>
      </c>
      <c r="F1135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Master'!$F:$F,B1135),"")</f>
        <v>7.1999999999999995E-2</v>
      </c>
      <c r="G1135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Master'!$F:$F,B1135),"")</f>
        <v>143</v>
      </c>
      <c r="H1135">
        <f>IF(AND(ISNUMBER(C1135),C1135&gt;='Bulk Calculator'!U98/('Bulk Calculator'!J98*'Bulk Calculator'!L98)),1,0)</f>
        <v>1</v>
      </c>
      <c r="I1135">
        <f>IFERROR(IF(AND(ISNUMBER(E1135),ISNUMBER(F1135),E1135&gt;0,F1135&gt;0),SQRT(3)*'Bulk Calculator'!O98*'Bulk Calculator'!AA98*((E1135*'Bulk Calculator'!Q98)+(F1135*SQRT(1-'Bulk Calculator'!Q98^2)))/'Bulk Calculator'!J98/'Bulk Calculator'!K98*100,D1135*'Bulk Calculator'!AA98*'Bulk Calculator'!O98/'Bulk Calculator'!J98/'Bulk Calculator'!K98*100),"")</f>
        <v>0</v>
      </c>
      <c r="J1135">
        <f>IFERROR(IF(AND(ISNUMBER(E1135),ISNUMBER(F1135),E1135&gt;0,F1135&gt;0),SQRT(3)*'Bulk Calculator'!O98*'Bulk Calculator'!U98*((E1135*'Bulk Calculator'!M98)+(F1135*SQRT(1-'Bulk Calculator'!M98^2)))/'Bulk Calculator'!J98/'Bulk Calculator'!K98*100,D1135*'Bulk Calculator'!U98*'Bulk Calculator'!O98/'Bulk Calculator'!J98/'Bulk Calculator'!K98*100),"")</f>
        <v>0</v>
      </c>
      <c r="K1135">
        <f>IFERROR(G1135*B1135*'Bulk Calculator'!J98/SQRT('Bulk Calculator'!S98)/1000,"")</f>
        <v>38.370926493896391</v>
      </c>
      <c r="L1135">
        <f>IF(OR('Bulk Calculator'!R98="",'Bulk Calculator'!S98="",G1135=""),0,IF(K1135&gt;='Bulk Calculator'!R98,1,0))</f>
        <v>1</v>
      </c>
      <c r="M1135">
        <f>IF(AND(H1135=1,I1135&lt;='OS-DORAEN'!$B$6,J1135&lt;='OS-DORAEN'!$B$5,L1135=1),1,0)</f>
        <v>1</v>
      </c>
      <c r="N1135" t="str">
        <f t="shared" si="17"/>
        <v>R/X</v>
      </c>
    </row>
    <row r="1136" spans="1:14" ht="15" customHeight="1" x14ac:dyDescent="0.35">
      <c r="A1136">
        <v>98</v>
      </c>
      <c r="B1136">
        <v>95</v>
      </c>
      <c r="C1136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Master'!$F:$F,B1136),"")</f>
        <v>221</v>
      </c>
      <c r="D1136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Master'!$F:$F,B1136),"")</f>
        <v>0.41</v>
      </c>
      <c r="E1136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Master'!$F:$F,B1136),"")</f>
        <v>0.41</v>
      </c>
      <c r="F1136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Master'!$F:$F,B1136),"")</f>
        <v>7.3999999999999996E-2</v>
      </c>
      <c r="G1136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Master'!$F:$F,B1136),"")</f>
        <v>143</v>
      </c>
      <c r="H1136">
        <f>IF(AND(ISNUMBER(C1136),C1136&gt;='Bulk Calculator'!U98/('Bulk Calculator'!J98*'Bulk Calculator'!L98)),1,0)</f>
        <v>1</v>
      </c>
      <c r="I1136">
        <f>IFERROR(IF(AND(ISNUMBER(E1136),ISNUMBER(F1136),E1136&gt;0,F1136&gt;0),SQRT(3)*'Bulk Calculator'!O98*'Bulk Calculator'!AA98*((E1136*'Bulk Calculator'!Q98)+(F1136*SQRT(1-'Bulk Calculator'!Q98^2)))/'Bulk Calculator'!J98/'Bulk Calculator'!K98*100,D1136*'Bulk Calculator'!AA98*'Bulk Calculator'!O98/'Bulk Calculator'!J98/'Bulk Calculator'!K98*100),"")</f>
        <v>0</v>
      </c>
      <c r="J1136">
        <f>IFERROR(IF(AND(ISNUMBER(E1136),ISNUMBER(F1136),E1136&gt;0,F1136&gt;0),SQRT(3)*'Bulk Calculator'!O98*'Bulk Calculator'!U98*((E1136*'Bulk Calculator'!M98)+(F1136*SQRT(1-'Bulk Calculator'!M98^2)))/'Bulk Calculator'!J98/'Bulk Calculator'!K98*100,D1136*'Bulk Calculator'!U98*'Bulk Calculator'!O98/'Bulk Calculator'!J98/'Bulk Calculator'!K98*100),"")</f>
        <v>0</v>
      </c>
      <c r="K1136">
        <f>IFERROR(G1136*B1136*'Bulk Calculator'!J98/SQRT('Bulk Calculator'!S98)/1000,"")</f>
        <v>30.376983474334644</v>
      </c>
      <c r="L1136">
        <f>IF(OR('Bulk Calculator'!R98="",'Bulk Calculator'!S98="",G1136=""),0,IF(K1136&gt;='Bulk Calculator'!R98,1,0))</f>
        <v>1</v>
      </c>
      <c r="M1136">
        <f>IF(AND(H1136=1,I1136&lt;='OS-DORAEN'!$B$6,J1136&lt;='OS-DORAEN'!$B$5,L1136=1),1,0)</f>
        <v>1</v>
      </c>
      <c r="N1136" t="str">
        <f t="shared" si="17"/>
        <v>R/X</v>
      </c>
    </row>
    <row r="1137" spans="1:14" ht="15" customHeight="1" x14ac:dyDescent="0.35">
      <c r="A1137">
        <v>98</v>
      </c>
      <c r="B1137">
        <v>70</v>
      </c>
      <c r="C1137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Master'!$F:$F,B1137),"")</f>
        <v>179</v>
      </c>
      <c r="D1137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Master'!$F:$F,B1137),"")</f>
        <v>0.56699999999999995</v>
      </c>
      <c r="E1137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Master'!$F:$F,B1137),"")</f>
        <v>0.56699999999999995</v>
      </c>
      <c r="F1137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Master'!$F:$F,B1137),"")</f>
        <v>7.6999999999999999E-2</v>
      </c>
      <c r="G1137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Master'!$F:$F,B1137),"")</f>
        <v>143</v>
      </c>
      <c r="H1137">
        <f>IF(AND(ISNUMBER(C1137),C1137&gt;='Bulk Calculator'!U98/('Bulk Calculator'!J98*'Bulk Calculator'!L98)),1,0)</f>
        <v>1</v>
      </c>
      <c r="I1137">
        <f>IFERROR(IF(AND(ISNUMBER(E1137),ISNUMBER(F1137),E1137&gt;0,F1137&gt;0),SQRT(3)*'Bulk Calculator'!O98*'Bulk Calculator'!AA98*((E1137*'Bulk Calculator'!Q98)+(F1137*SQRT(1-'Bulk Calculator'!Q98^2)))/'Bulk Calculator'!J98/'Bulk Calculator'!K98*100,D1137*'Bulk Calculator'!AA98*'Bulk Calculator'!O98/'Bulk Calculator'!J98/'Bulk Calculator'!K98*100),"")</f>
        <v>0</v>
      </c>
      <c r="J1137">
        <f>IFERROR(IF(AND(ISNUMBER(E1137),ISNUMBER(F1137),E1137&gt;0,F1137&gt;0),SQRT(3)*'Bulk Calculator'!O98*'Bulk Calculator'!U98*((E1137*'Bulk Calculator'!M98)+(F1137*SQRT(1-'Bulk Calculator'!M98^2)))/'Bulk Calculator'!J98/'Bulk Calculator'!K98*100,D1137*'Bulk Calculator'!U98*'Bulk Calculator'!O98/'Bulk Calculator'!J98/'Bulk Calculator'!K98*100),"")</f>
        <v>0</v>
      </c>
      <c r="K1137">
        <f>IFERROR(G1137*B1137*'Bulk Calculator'!J98/SQRT('Bulk Calculator'!S98)/1000,"")</f>
        <v>22.383040454772893</v>
      </c>
      <c r="L1137">
        <f>IF(OR('Bulk Calculator'!R98="",'Bulk Calculator'!S98="",G1137=""),0,IF(K1137&gt;='Bulk Calculator'!R98,1,0))</f>
        <v>1</v>
      </c>
      <c r="M1137">
        <f>IF(AND(H1137=1,I1137&lt;='OS-DORAEN'!$B$6,J1137&lt;='OS-DORAEN'!$B$5,L1137=1),1,0)</f>
        <v>1</v>
      </c>
      <c r="N1137" t="str">
        <f t="shared" si="17"/>
        <v>R/X</v>
      </c>
    </row>
    <row r="1138" spans="1:14" ht="15" customHeight="1" x14ac:dyDescent="0.35">
      <c r="A1138">
        <v>98</v>
      </c>
      <c r="B1138">
        <v>50</v>
      </c>
      <c r="C1138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Master'!$F:$F,B1138),"")</f>
        <v>142</v>
      </c>
      <c r="D1138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Master'!$F:$F,B1138),"")</f>
        <v>0.82</v>
      </c>
      <c r="E1138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Master'!$F:$F,B1138),"")</f>
        <v>0.82</v>
      </c>
      <c r="F1138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Master'!$F:$F,B1138),"")</f>
        <v>7.8E-2</v>
      </c>
      <c r="G1138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Master'!$F:$F,B1138),"")</f>
        <v>143</v>
      </c>
      <c r="H1138">
        <f>IF(AND(ISNUMBER(C1138),C1138&gt;='Bulk Calculator'!U98/('Bulk Calculator'!J98*'Bulk Calculator'!L98)),1,0)</f>
        <v>1</v>
      </c>
      <c r="I1138">
        <f>IFERROR(IF(AND(ISNUMBER(E1138),ISNUMBER(F1138),E1138&gt;0,F1138&gt;0),SQRT(3)*'Bulk Calculator'!O98*'Bulk Calculator'!AA98*((E1138*'Bulk Calculator'!Q98)+(F1138*SQRT(1-'Bulk Calculator'!Q98^2)))/'Bulk Calculator'!J98/'Bulk Calculator'!K98*100,D1138*'Bulk Calculator'!AA98*'Bulk Calculator'!O98/'Bulk Calculator'!J98/'Bulk Calculator'!K98*100),"")</f>
        <v>0</v>
      </c>
      <c r="J1138">
        <f>IFERROR(IF(AND(ISNUMBER(E1138),ISNUMBER(F1138),E1138&gt;0,F1138&gt;0),SQRT(3)*'Bulk Calculator'!O98*'Bulk Calculator'!U98*((E1138*'Bulk Calculator'!M98)+(F1138*SQRT(1-'Bulk Calculator'!M98^2)))/'Bulk Calculator'!J98/'Bulk Calculator'!K98*100,D1138*'Bulk Calculator'!U98*'Bulk Calculator'!O98/'Bulk Calculator'!J98/'Bulk Calculator'!K98*100),"")</f>
        <v>0</v>
      </c>
      <c r="K1138">
        <f>IFERROR(G1138*B1138*'Bulk Calculator'!J98/SQRT('Bulk Calculator'!S98)/1000,"")</f>
        <v>15.987886039123497</v>
      </c>
      <c r="L1138">
        <f>IF(OR('Bulk Calculator'!R98="",'Bulk Calculator'!S98="",G1138=""),0,IF(K1138&gt;='Bulk Calculator'!R98,1,0))</f>
        <v>1</v>
      </c>
      <c r="M1138">
        <f>IF(AND(H1138=1,I1138&lt;='OS-DORAEN'!$B$6,J1138&lt;='OS-DORAEN'!$B$5,L1138=1),1,0)</f>
        <v>1</v>
      </c>
      <c r="N1138" t="str">
        <f t="shared" si="17"/>
        <v>R/X</v>
      </c>
    </row>
    <row r="1139" spans="1:14" ht="15" customHeight="1" x14ac:dyDescent="0.35">
      <c r="A1139">
        <v>98</v>
      </c>
      <c r="B1139">
        <v>35</v>
      </c>
      <c r="C1139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Master'!$F:$F,B1139),"")</f>
        <v>117</v>
      </c>
      <c r="D1139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Master'!$F:$F,B1139),"")</f>
        <v>1.1100000000000001</v>
      </c>
      <c r="E1139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Master'!$F:$F,B1139),"")</f>
        <v>1.1100000000000001</v>
      </c>
      <c r="F1139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Master'!$F:$F,B1139),"")</f>
        <v>0.08</v>
      </c>
      <c r="G1139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Master'!$F:$F,B1139),"")</f>
        <v>143</v>
      </c>
      <c r="H1139">
        <f>IF(AND(ISNUMBER(C1139),C1139&gt;='Bulk Calculator'!U98/('Bulk Calculator'!J98*'Bulk Calculator'!L98)),1,0)</f>
        <v>1</v>
      </c>
      <c r="I1139">
        <f>IFERROR(IF(AND(ISNUMBER(E1139),ISNUMBER(F1139),E1139&gt;0,F1139&gt;0),SQRT(3)*'Bulk Calculator'!O98*'Bulk Calculator'!AA98*((E1139*'Bulk Calculator'!Q98)+(F1139*SQRT(1-'Bulk Calculator'!Q98^2)))/'Bulk Calculator'!J98/'Bulk Calculator'!K98*100,D1139*'Bulk Calculator'!AA98*'Bulk Calculator'!O98/'Bulk Calculator'!J98/'Bulk Calculator'!K98*100),"")</f>
        <v>0</v>
      </c>
      <c r="J1139">
        <f>IFERROR(IF(AND(ISNUMBER(E1139),ISNUMBER(F1139),E1139&gt;0,F1139&gt;0),SQRT(3)*'Bulk Calculator'!O98*'Bulk Calculator'!U98*((E1139*'Bulk Calculator'!M98)+(F1139*SQRT(1-'Bulk Calculator'!M98^2)))/'Bulk Calculator'!J98/'Bulk Calculator'!K98*100,D1139*'Bulk Calculator'!U98*'Bulk Calculator'!O98/'Bulk Calculator'!J98/'Bulk Calculator'!K98*100),"")</f>
        <v>0</v>
      </c>
      <c r="K1139">
        <f>IFERROR(G1139*B1139*'Bulk Calculator'!J98/SQRT('Bulk Calculator'!S98)/1000,"")</f>
        <v>11.191520227386446</v>
      </c>
      <c r="L1139">
        <f>IF(OR('Bulk Calculator'!R98="",'Bulk Calculator'!S98="",G1139=""),0,IF(K1139&gt;='Bulk Calculator'!R98,1,0))</f>
        <v>1</v>
      </c>
      <c r="M1139">
        <f>IF(AND(H1139=1,I1139&lt;='OS-DORAEN'!$B$6,J1139&lt;='OS-DORAEN'!$B$5,L1139=1),1,0)</f>
        <v>1</v>
      </c>
      <c r="N1139" t="str">
        <f t="shared" si="17"/>
        <v>R/X</v>
      </c>
    </row>
    <row r="1140" spans="1:14" ht="15" customHeight="1" x14ac:dyDescent="0.35">
      <c r="A1140">
        <v>98</v>
      </c>
      <c r="B1140">
        <v>25</v>
      </c>
      <c r="C1140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Master'!$F:$F,B1140),"")</f>
        <v>96</v>
      </c>
      <c r="D1140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Master'!$F:$F,B1140),"")</f>
        <v>1.54</v>
      </c>
      <c r="E1140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Master'!$F:$F,B1140),"")</f>
        <v>1.54</v>
      </c>
      <c r="F1140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Master'!$F:$F,B1140),"")</f>
        <v>0.08</v>
      </c>
      <c r="G1140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Master'!$F:$F,B1140),"")</f>
        <v>143</v>
      </c>
      <c r="H1140">
        <f>IF(AND(ISNUMBER(C1140),C1140&gt;='Bulk Calculator'!U98/('Bulk Calculator'!J98*'Bulk Calculator'!L98)),1,0)</f>
        <v>1</v>
      </c>
      <c r="I1140">
        <f>IFERROR(IF(AND(ISNUMBER(E1140),ISNUMBER(F1140),E1140&gt;0,F1140&gt;0),SQRT(3)*'Bulk Calculator'!O98*'Bulk Calculator'!AA98*((E1140*'Bulk Calculator'!Q98)+(F1140*SQRT(1-'Bulk Calculator'!Q98^2)))/'Bulk Calculator'!J98/'Bulk Calculator'!K98*100,D1140*'Bulk Calculator'!AA98*'Bulk Calculator'!O98/'Bulk Calculator'!J98/'Bulk Calculator'!K98*100),"")</f>
        <v>0</v>
      </c>
      <c r="J1140">
        <f>IFERROR(IF(AND(ISNUMBER(E1140),ISNUMBER(F1140),E1140&gt;0,F1140&gt;0),SQRT(3)*'Bulk Calculator'!O98*'Bulk Calculator'!U98*((E1140*'Bulk Calculator'!M98)+(F1140*SQRT(1-'Bulk Calculator'!M98^2)))/'Bulk Calculator'!J98/'Bulk Calculator'!K98*100,D1140*'Bulk Calculator'!U98*'Bulk Calculator'!O98/'Bulk Calculator'!J98/'Bulk Calculator'!K98*100),"")</f>
        <v>0</v>
      </c>
      <c r="K1140">
        <f>IFERROR(G1140*B1140*'Bulk Calculator'!J98/SQRT('Bulk Calculator'!S98)/1000,"")</f>
        <v>7.9939430195617485</v>
      </c>
      <c r="L1140">
        <f>IF(OR('Bulk Calculator'!R98="",'Bulk Calculator'!S98="",G1140=""),0,IF(K1140&gt;='Bulk Calculator'!R98,1,0))</f>
        <v>1</v>
      </c>
      <c r="M1140">
        <f>IF(AND(H1140=1,I1140&lt;='OS-DORAEN'!$B$6,J1140&lt;='OS-DORAEN'!$B$5,L1140=1),1,0)</f>
        <v>1</v>
      </c>
      <c r="N1140" t="str">
        <f t="shared" si="17"/>
        <v>R/X</v>
      </c>
    </row>
    <row r="1141" spans="1:14" ht="15" customHeight="1" x14ac:dyDescent="0.35">
      <c r="A1141">
        <v>98</v>
      </c>
      <c r="B1141">
        <v>16</v>
      </c>
      <c r="C1141">
        <f>IFERROR(SUMIFS('Cable Data Master'!$G:$G,'Cable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Master'!$F:$F,B1141),"")</f>
        <v>0</v>
      </c>
      <c r="D1141">
        <f>IFERROR(SUMIFS('Cable Data Master'!$K:$K,'Cable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Master'!$F:$F,B1141),"")</f>
        <v>0</v>
      </c>
      <c r="E1141">
        <f>IFERROR(SUMIFS('Cable Data Master'!$H:$H,'Cable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Master'!$F:$F,B1141),"")</f>
        <v>0</v>
      </c>
      <c r="F1141">
        <f>IFERROR(SUMIFS('Cable Data Master'!$I:$I,'Cable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Master'!$F:$F,B1141),"")</f>
        <v>0</v>
      </c>
      <c r="G1141">
        <f>IFERROR(SUMIFS('Cable Data Master'!$J:$J,'Cable Data Master'!$A:$A,'Bulk Calculator'!$BF98,'Cable Data Master'!$B:$B,'Bulk Calculator'!$BG98,'Cable Data Master'!$C:$C,'Bulk Calculator'!$BH98,'Cable Data Master'!$D:$D,'Bulk Calculator'!$BI98,'Cable Data Master'!$E:$E,'Bulk Calculator'!$BJ98,'Cable Data Master'!$F:$F,B1141),"")</f>
        <v>0</v>
      </c>
      <c r="H1141">
        <f>IF(AND(ISNUMBER(C1141),C1141&gt;='Bulk Calculator'!U98/('Bulk Calculator'!J98*'Bulk Calculator'!L98)),1,0)</f>
        <v>1</v>
      </c>
      <c r="I1141">
        <f>IFERROR(IF(AND(ISNUMBER(E1141),ISNUMBER(F1141),E1141&gt;0,F1141&gt;0),SQRT(3)*'Bulk Calculator'!O98*'Bulk Calculator'!AA98*((E1141*'Bulk Calculator'!Q98)+(F1141*SQRT(1-'Bulk Calculator'!Q98^2)))/'Bulk Calculator'!J98/'Bulk Calculator'!K98*100,D1141*'Bulk Calculator'!AA98*'Bulk Calculator'!O98/'Bulk Calculator'!J98/'Bulk Calculator'!K98*100),"")</f>
        <v>0</v>
      </c>
      <c r="J1141">
        <f>IFERROR(IF(AND(ISNUMBER(E1141),ISNUMBER(F1141),E1141&gt;0,F1141&gt;0),SQRT(3)*'Bulk Calculator'!O98*'Bulk Calculator'!U98*((E1141*'Bulk Calculator'!M98)+(F1141*SQRT(1-'Bulk Calculator'!M98^2)))/'Bulk Calculator'!J98/'Bulk Calculator'!K98*100,D1141*'Bulk Calculator'!U98*'Bulk Calculator'!O98/'Bulk Calculator'!J98/'Bulk Calculator'!K98*100),"")</f>
        <v>0</v>
      </c>
      <c r="K1141">
        <f>IFERROR(G1141*B1141*'Bulk Calculator'!J98/SQRT('Bulk Calculator'!S98)/1000,"")</f>
        <v>0</v>
      </c>
      <c r="L1141">
        <f>IF(OR('Bulk Calculator'!R98="",'Bulk Calculator'!S98="",G1141=""),0,IF(K1141&gt;='Bulk Calculator'!R98,1,0))</f>
        <v>1</v>
      </c>
      <c r="M1141">
        <f>IF(AND(H1141=1,I1141&lt;='OS-DORAEN'!$B$6,J1141&lt;='OS-DORAEN'!$B$5,L1141=1),1,0)</f>
        <v>1</v>
      </c>
      <c r="N1141" t="str">
        <f t="shared" si="17"/>
        <v>Manufacturer VD Ref</v>
      </c>
    </row>
    <row r="1142" spans="1:14" ht="15" customHeight="1" x14ac:dyDescent="0.35">
      <c r="A1142">
        <v>99</v>
      </c>
      <c r="B1142">
        <v>400</v>
      </c>
      <c r="C1142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Master'!$F:$F,B1142),"")</f>
        <v>530</v>
      </c>
      <c r="D1142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Master'!$F:$F,B1142),"")</f>
        <v>0.1023</v>
      </c>
      <c r="E1142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Master'!$F:$F,B1142),"")</f>
        <v>0.1023</v>
      </c>
      <c r="F1142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Master'!$F:$F,B1142),"")</f>
        <v>7.0000000000000007E-2</v>
      </c>
      <c r="G1142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Master'!$F:$F,B1142),"")</f>
        <v>143</v>
      </c>
      <c r="H1142">
        <f>IF(AND(ISNUMBER(C1142),C1142&gt;='Bulk Calculator'!U99/('Bulk Calculator'!J99*'Bulk Calculator'!L99)),1,0)</f>
        <v>1</v>
      </c>
      <c r="I1142">
        <f>IFERROR(IF(AND(ISNUMBER(E1142),ISNUMBER(F1142),E1142&gt;0,F1142&gt;0),SQRT(3)*'Bulk Calculator'!O99*'Bulk Calculator'!AA99*((E1142*'Bulk Calculator'!Q99)+(F1142*SQRT(1-'Bulk Calculator'!Q99^2)))/'Bulk Calculator'!J99/'Bulk Calculator'!K99*100,D1142*'Bulk Calculator'!AA99*'Bulk Calculator'!O99/'Bulk Calculator'!J99/'Bulk Calculator'!K99*100),"")</f>
        <v>0</v>
      </c>
      <c r="J1142">
        <f>IFERROR(IF(AND(ISNUMBER(E1142),ISNUMBER(F1142),E1142&gt;0,F1142&gt;0),SQRT(3)*'Bulk Calculator'!O99*'Bulk Calculator'!U99*((E1142*'Bulk Calculator'!M99)+(F1142*SQRT(1-'Bulk Calculator'!M99^2)))/'Bulk Calculator'!J99/'Bulk Calculator'!K99*100,D1142*'Bulk Calculator'!U99*'Bulk Calculator'!O99/'Bulk Calculator'!J99/'Bulk Calculator'!K99*100),"")</f>
        <v>0</v>
      </c>
      <c r="K1142">
        <f>IFERROR(G1142*B1142*'Bulk Calculator'!J99/SQRT('Bulk Calculator'!S99)/1000,"")</f>
        <v>127.90308831298798</v>
      </c>
      <c r="L1142">
        <f>IF(OR('Bulk Calculator'!R99="",'Bulk Calculator'!S99="",G1142=""),0,IF(K1142&gt;='Bulk Calculator'!R99,1,0))</f>
        <v>1</v>
      </c>
      <c r="M1142">
        <f>IF(AND(H1142=1,I1142&lt;='OS-DORAEN'!$B$6,J1142&lt;='OS-DORAEN'!$B$5,L1142=1),1,0)</f>
        <v>1</v>
      </c>
      <c r="N1142" t="str">
        <f t="shared" si="17"/>
        <v>R/X</v>
      </c>
    </row>
    <row r="1143" spans="1:14" ht="15" customHeight="1" x14ac:dyDescent="0.35">
      <c r="A1143">
        <v>99</v>
      </c>
      <c r="B1143">
        <v>300</v>
      </c>
      <c r="C1143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Master'!$F:$F,B1143),"")</f>
        <v>455</v>
      </c>
      <c r="D1143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Master'!$F:$F,B1143),"")</f>
        <v>0.13</v>
      </c>
      <c r="E1143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Master'!$F:$F,B1143),"")</f>
        <v>0.13</v>
      </c>
      <c r="F1143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Master'!$F:$F,B1143),"")</f>
        <v>7.0999999999999994E-2</v>
      </c>
      <c r="G1143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Master'!$F:$F,B1143),"")</f>
        <v>143</v>
      </c>
      <c r="H1143">
        <f>IF(AND(ISNUMBER(C1143),C1143&gt;='Bulk Calculator'!U99/('Bulk Calculator'!J99*'Bulk Calculator'!L99)),1,0)</f>
        <v>1</v>
      </c>
      <c r="I1143">
        <f>IFERROR(IF(AND(ISNUMBER(E1143),ISNUMBER(F1143),E1143&gt;0,F1143&gt;0),SQRT(3)*'Bulk Calculator'!O99*'Bulk Calculator'!AA99*((E1143*'Bulk Calculator'!Q99)+(F1143*SQRT(1-'Bulk Calculator'!Q99^2)))/'Bulk Calculator'!J99/'Bulk Calculator'!K99*100,D1143*'Bulk Calculator'!AA99*'Bulk Calculator'!O99/'Bulk Calculator'!J99/'Bulk Calculator'!K99*100),"")</f>
        <v>0</v>
      </c>
      <c r="J1143">
        <f>IFERROR(IF(AND(ISNUMBER(E1143),ISNUMBER(F1143),E1143&gt;0,F1143&gt;0),SQRT(3)*'Bulk Calculator'!O99*'Bulk Calculator'!U99*((E1143*'Bulk Calculator'!M99)+(F1143*SQRT(1-'Bulk Calculator'!M99^2)))/'Bulk Calculator'!J99/'Bulk Calculator'!K99*100,D1143*'Bulk Calculator'!U99*'Bulk Calculator'!O99/'Bulk Calculator'!J99/'Bulk Calculator'!K99*100),"")</f>
        <v>0</v>
      </c>
      <c r="K1143">
        <f>IFERROR(G1143*B1143*'Bulk Calculator'!J99/SQRT('Bulk Calculator'!S99)/1000,"")</f>
        <v>95.927316234740985</v>
      </c>
      <c r="L1143">
        <f>IF(OR('Bulk Calculator'!R99="",'Bulk Calculator'!S99="",G1143=""),0,IF(K1143&gt;='Bulk Calculator'!R99,1,0))</f>
        <v>1</v>
      </c>
      <c r="M1143">
        <f>IF(AND(H1143=1,I1143&lt;='OS-DORAEN'!$B$6,J1143&lt;='OS-DORAEN'!$B$5,L1143=1),1,0)</f>
        <v>1</v>
      </c>
      <c r="N1143" t="str">
        <f t="shared" si="17"/>
        <v>R/X</v>
      </c>
    </row>
    <row r="1144" spans="1:14" ht="15" customHeight="1" x14ac:dyDescent="0.35">
      <c r="A1144">
        <v>99</v>
      </c>
      <c r="B1144">
        <v>240</v>
      </c>
      <c r="C1144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Master'!$F:$F,B1144),"")</f>
        <v>399</v>
      </c>
      <c r="D1144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Master'!$F:$F,B1144),"")</f>
        <v>0.16200000000000001</v>
      </c>
      <c r="E1144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Master'!$F:$F,B1144),"")</f>
        <v>0.16200000000000001</v>
      </c>
      <c r="F1144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Master'!$F:$F,B1144),"")</f>
        <v>7.1999999999999995E-2</v>
      </c>
      <c r="G1144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Master'!$F:$F,B1144),"")</f>
        <v>143</v>
      </c>
      <c r="H1144">
        <f>IF(AND(ISNUMBER(C1144),C1144&gt;='Bulk Calculator'!U99/('Bulk Calculator'!J99*'Bulk Calculator'!L99)),1,0)</f>
        <v>1</v>
      </c>
      <c r="I1144">
        <f>IFERROR(IF(AND(ISNUMBER(E1144),ISNUMBER(F1144),E1144&gt;0,F1144&gt;0),SQRT(3)*'Bulk Calculator'!O99*'Bulk Calculator'!AA99*((E1144*'Bulk Calculator'!Q99)+(F1144*SQRT(1-'Bulk Calculator'!Q99^2)))/'Bulk Calculator'!J99/'Bulk Calculator'!K99*100,D1144*'Bulk Calculator'!AA99*'Bulk Calculator'!O99/'Bulk Calculator'!J99/'Bulk Calculator'!K99*100),"")</f>
        <v>0</v>
      </c>
      <c r="J1144">
        <f>IFERROR(IF(AND(ISNUMBER(E1144),ISNUMBER(F1144),E1144&gt;0,F1144&gt;0),SQRT(3)*'Bulk Calculator'!O99*'Bulk Calculator'!U99*((E1144*'Bulk Calculator'!M99)+(F1144*SQRT(1-'Bulk Calculator'!M99^2)))/'Bulk Calculator'!J99/'Bulk Calculator'!K99*100,D1144*'Bulk Calculator'!U99*'Bulk Calculator'!O99/'Bulk Calculator'!J99/'Bulk Calculator'!K99*100),"")</f>
        <v>0</v>
      </c>
      <c r="K1144">
        <f>IFERROR(G1144*B1144*'Bulk Calculator'!J99/SQRT('Bulk Calculator'!S99)/1000,"")</f>
        <v>76.741852987792782</v>
      </c>
      <c r="L1144">
        <f>IF(OR('Bulk Calculator'!R99="",'Bulk Calculator'!S99="",G1144=""),0,IF(K1144&gt;='Bulk Calculator'!R99,1,0))</f>
        <v>1</v>
      </c>
      <c r="M1144">
        <f>IF(AND(H1144=1,I1144&lt;='OS-DORAEN'!$B$6,J1144&lt;='OS-DORAEN'!$B$5,L1144=1),1,0)</f>
        <v>1</v>
      </c>
      <c r="N1144" t="str">
        <f t="shared" si="17"/>
        <v>R/X</v>
      </c>
    </row>
    <row r="1145" spans="1:14" ht="15" customHeight="1" x14ac:dyDescent="0.35">
      <c r="A1145">
        <v>99</v>
      </c>
      <c r="B1145">
        <v>185</v>
      </c>
      <c r="C1145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Master'!$F:$F,B1145),"")</f>
        <v>337</v>
      </c>
      <c r="D1145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Master'!$F:$F,B1145),"")</f>
        <v>0.21099999999999999</v>
      </c>
      <c r="E1145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Master'!$F:$F,B1145),"")</f>
        <v>0.21099999999999999</v>
      </c>
      <c r="F1145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Master'!$F:$F,B1145),"")</f>
        <v>7.1999999999999995E-2</v>
      </c>
      <c r="G1145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Master'!$F:$F,B1145),"")</f>
        <v>143</v>
      </c>
      <c r="H1145">
        <f>IF(AND(ISNUMBER(C1145),C1145&gt;='Bulk Calculator'!U99/('Bulk Calculator'!J99*'Bulk Calculator'!L99)),1,0)</f>
        <v>1</v>
      </c>
      <c r="I1145">
        <f>IFERROR(IF(AND(ISNUMBER(E1145),ISNUMBER(F1145),E1145&gt;0,F1145&gt;0),SQRT(3)*'Bulk Calculator'!O99*'Bulk Calculator'!AA99*((E1145*'Bulk Calculator'!Q99)+(F1145*SQRT(1-'Bulk Calculator'!Q99^2)))/'Bulk Calculator'!J99/'Bulk Calculator'!K99*100,D1145*'Bulk Calculator'!AA99*'Bulk Calculator'!O99/'Bulk Calculator'!J99/'Bulk Calculator'!K99*100),"")</f>
        <v>0</v>
      </c>
      <c r="J1145">
        <f>IFERROR(IF(AND(ISNUMBER(E1145),ISNUMBER(F1145),E1145&gt;0,F1145&gt;0),SQRT(3)*'Bulk Calculator'!O99*'Bulk Calculator'!U99*((E1145*'Bulk Calculator'!M99)+(F1145*SQRT(1-'Bulk Calculator'!M99^2)))/'Bulk Calculator'!J99/'Bulk Calculator'!K99*100,D1145*'Bulk Calculator'!U99*'Bulk Calculator'!O99/'Bulk Calculator'!J99/'Bulk Calculator'!K99*100),"")</f>
        <v>0</v>
      </c>
      <c r="K1145">
        <f>IFERROR(G1145*B1145*'Bulk Calculator'!J99/SQRT('Bulk Calculator'!S99)/1000,"")</f>
        <v>59.155178344756941</v>
      </c>
      <c r="L1145">
        <f>IF(OR('Bulk Calculator'!R99="",'Bulk Calculator'!S99="",G1145=""),0,IF(K1145&gt;='Bulk Calculator'!R99,1,0))</f>
        <v>1</v>
      </c>
      <c r="M1145">
        <f>IF(AND(H1145=1,I1145&lt;='OS-DORAEN'!$B$6,J1145&lt;='OS-DORAEN'!$B$5,L1145=1),1,0)</f>
        <v>1</v>
      </c>
      <c r="N1145" t="str">
        <f t="shared" si="17"/>
        <v>R/X</v>
      </c>
    </row>
    <row r="1146" spans="1:14" ht="15" customHeight="1" x14ac:dyDescent="0.35">
      <c r="A1146">
        <v>99</v>
      </c>
      <c r="B1146">
        <v>150</v>
      </c>
      <c r="C1146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Master'!$F:$F,B1146),"")</f>
        <v>292</v>
      </c>
      <c r="D1146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Master'!$F:$F,B1146),"")</f>
        <v>0.26500000000000001</v>
      </c>
      <c r="E1146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Master'!$F:$F,B1146),"")</f>
        <v>0.26500000000000001</v>
      </c>
      <c r="F1146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Master'!$F:$F,B1146),"")</f>
        <v>7.1999999999999995E-2</v>
      </c>
      <c r="G1146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Master'!$F:$F,B1146),"")</f>
        <v>143</v>
      </c>
      <c r="H1146">
        <f>IF(AND(ISNUMBER(C1146),C1146&gt;='Bulk Calculator'!U99/('Bulk Calculator'!J99*'Bulk Calculator'!L99)),1,0)</f>
        <v>1</v>
      </c>
      <c r="I1146">
        <f>IFERROR(IF(AND(ISNUMBER(E1146),ISNUMBER(F1146),E1146&gt;0,F1146&gt;0),SQRT(3)*'Bulk Calculator'!O99*'Bulk Calculator'!AA99*((E1146*'Bulk Calculator'!Q99)+(F1146*SQRT(1-'Bulk Calculator'!Q99^2)))/'Bulk Calculator'!J99/'Bulk Calculator'!K99*100,D1146*'Bulk Calculator'!AA99*'Bulk Calculator'!O99/'Bulk Calculator'!J99/'Bulk Calculator'!K99*100),"")</f>
        <v>0</v>
      </c>
      <c r="J1146">
        <f>IFERROR(IF(AND(ISNUMBER(E1146),ISNUMBER(F1146),E1146&gt;0,F1146&gt;0),SQRT(3)*'Bulk Calculator'!O99*'Bulk Calculator'!U99*((E1146*'Bulk Calculator'!M99)+(F1146*SQRT(1-'Bulk Calculator'!M99^2)))/'Bulk Calculator'!J99/'Bulk Calculator'!K99*100,D1146*'Bulk Calculator'!U99*'Bulk Calculator'!O99/'Bulk Calculator'!J99/'Bulk Calculator'!K99*100),"")</f>
        <v>0</v>
      </c>
      <c r="K1146">
        <f>IFERROR(G1146*B1146*'Bulk Calculator'!J99/SQRT('Bulk Calculator'!S99)/1000,"")</f>
        <v>47.963658117370493</v>
      </c>
      <c r="L1146">
        <f>IF(OR('Bulk Calculator'!R99="",'Bulk Calculator'!S99="",G1146=""),0,IF(K1146&gt;='Bulk Calculator'!R99,1,0))</f>
        <v>1</v>
      </c>
      <c r="M1146">
        <f>IF(AND(H1146=1,I1146&lt;='OS-DORAEN'!$B$6,J1146&lt;='OS-DORAEN'!$B$5,L1146=1),1,0)</f>
        <v>1</v>
      </c>
      <c r="N1146" t="str">
        <f t="shared" si="17"/>
        <v>R/X</v>
      </c>
    </row>
    <row r="1147" spans="1:14" ht="15" customHeight="1" x14ac:dyDescent="0.35">
      <c r="A1147">
        <v>99</v>
      </c>
      <c r="B1147">
        <v>120</v>
      </c>
      <c r="C1147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Master'!$F:$F,B1147),"")</f>
        <v>257</v>
      </c>
      <c r="D1147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Master'!$F:$F,B1147),"")</f>
        <v>0.32500000000000001</v>
      </c>
      <c r="E1147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Master'!$F:$F,B1147),"")</f>
        <v>0.32500000000000001</v>
      </c>
      <c r="F1147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Master'!$F:$F,B1147),"")</f>
        <v>7.1999999999999995E-2</v>
      </c>
      <c r="G1147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Master'!$F:$F,B1147),"")</f>
        <v>143</v>
      </c>
      <c r="H1147">
        <f>IF(AND(ISNUMBER(C1147),C1147&gt;='Bulk Calculator'!U99/('Bulk Calculator'!J99*'Bulk Calculator'!L99)),1,0)</f>
        <v>1</v>
      </c>
      <c r="I1147">
        <f>IFERROR(IF(AND(ISNUMBER(E1147),ISNUMBER(F1147),E1147&gt;0,F1147&gt;0),SQRT(3)*'Bulk Calculator'!O99*'Bulk Calculator'!AA99*((E1147*'Bulk Calculator'!Q99)+(F1147*SQRT(1-'Bulk Calculator'!Q99^2)))/'Bulk Calculator'!J99/'Bulk Calculator'!K99*100,D1147*'Bulk Calculator'!AA99*'Bulk Calculator'!O99/'Bulk Calculator'!J99/'Bulk Calculator'!K99*100),"")</f>
        <v>0</v>
      </c>
      <c r="J1147">
        <f>IFERROR(IF(AND(ISNUMBER(E1147),ISNUMBER(F1147),E1147&gt;0,F1147&gt;0),SQRT(3)*'Bulk Calculator'!O99*'Bulk Calculator'!U99*((E1147*'Bulk Calculator'!M99)+(F1147*SQRT(1-'Bulk Calculator'!M99^2)))/'Bulk Calculator'!J99/'Bulk Calculator'!K99*100,D1147*'Bulk Calculator'!U99*'Bulk Calculator'!O99/'Bulk Calculator'!J99/'Bulk Calculator'!K99*100),"")</f>
        <v>0</v>
      </c>
      <c r="K1147">
        <f>IFERROR(G1147*B1147*'Bulk Calculator'!J99/SQRT('Bulk Calculator'!S99)/1000,"")</f>
        <v>38.370926493896391</v>
      </c>
      <c r="L1147">
        <f>IF(OR('Bulk Calculator'!R99="",'Bulk Calculator'!S99="",G1147=""),0,IF(K1147&gt;='Bulk Calculator'!R99,1,0))</f>
        <v>1</v>
      </c>
      <c r="M1147">
        <f>IF(AND(H1147=1,I1147&lt;='OS-DORAEN'!$B$6,J1147&lt;='OS-DORAEN'!$B$5,L1147=1),1,0)</f>
        <v>1</v>
      </c>
      <c r="N1147" t="str">
        <f t="shared" si="17"/>
        <v>R/X</v>
      </c>
    </row>
    <row r="1148" spans="1:14" ht="15" customHeight="1" x14ac:dyDescent="0.35">
      <c r="A1148">
        <v>99</v>
      </c>
      <c r="B1148">
        <v>95</v>
      </c>
      <c r="C1148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Master'!$F:$F,B1148),"")</f>
        <v>221</v>
      </c>
      <c r="D1148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Master'!$F:$F,B1148),"")</f>
        <v>0.41</v>
      </c>
      <c r="E1148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Master'!$F:$F,B1148),"")</f>
        <v>0.41</v>
      </c>
      <c r="F1148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Master'!$F:$F,B1148),"")</f>
        <v>7.3999999999999996E-2</v>
      </c>
      <c r="G1148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Master'!$F:$F,B1148),"")</f>
        <v>143</v>
      </c>
      <c r="H1148">
        <f>IF(AND(ISNUMBER(C1148),C1148&gt;='Bulk Calculator'!U99/('Bulk Calculator'!J99*'Bulk Calculator'!L99)),1,0)</f>
        <v>1</v>
      </c>
      <c r="I1148">
        <f>IFERROR(IF(AND(ISNUMBER(E1148),ISNUMBER(F1148),E1148&gt;0,F1148&gt;0),SQRT(3)*'Bulk Calculator'!O99*'Bulk Calculator'!AA99*((E1148*'Bulk Calculator'!Q99)+(F1148*SQRT(1-'Bulk Calculator'!Q99^2)))/'Bulk Calculator'!J99/'Bulk Calculator'!K99*100,D1148*'Bulk Calculator'!AA99*'Bulk Calculator'!O99/'Bulk Calculator'!J99/'Bulk Calculator'!K99*100),"")</f>
        <v>0</v>
      </c>
      <c r="J1148">
        <f>IFERROR(IF(AND(ISNUMBER(E1148),ISNUMBER(F1148),E1148&gt;0,F1148&gt;0),SQRT(3)*'Bulk Calculator'!O99*'Bulk Calculator'!U99*((E1148*'Bulk Calculator'!M99)+(F1148*SQRT(1-'Bulk Calculator'!M99^2)))/'Bulk Calculator'!J99/'Bulk Calculator'!K99*100,D1148*'Bulk Calculator'!U99*'Bulk Calculator'!O99/'Bulk Calculator'!J99/'Bulk Calculator'!K99*100),"")</f>
        <v>0</v>
      </c>
      <c r="K1148">
        <f>IFERROR(G1148*B1148*'Bulk Calculator'!J99/SQRT('Bulk Calculator'!S99)/1000,"")</f>
        <v>30.376983474334644</v>
      </c>
      <c r="L1148">
        <f>IF(OR('Bulk Calculator'!R99="",'Bulk Calculator'!S99="",G1148=""),0,IF(K1148&gt;='Bulk Calculator'!R99,1,0))</f>
        <v>1</v>
      </c>
      <c r="M1148">
        <f>IF(AND(H1148=1,I1148&lt;='OS-DORAEN'!$B$6,J1148&lt;='OS-DORAEN'!$B$5,L1148=1),1,0)</f>
        <v>1</v>
      </c>
      <c r="N1148" t="str">
        <f t="shared" si="17"/>
        <v>R/X</v>
      </c>
    </row>
    <row r="1149" spans="1:14" ht="15" customHeight="1" x14ac:dyDescent="0.35">
      <c r="A1149">
        <v>99</v>
      </c>
      <c r="B1149">
        <v>70</v>
      </c>
      <c r="C1149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Master'!$F:$F,B1149),"")</f>
        <v>179</v>
      </c>
      <c r="D1149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Master'!$F:$F,B1149),"")</f>
        <v>0.56699999999999995</v>
      </c>
      <c r="E1149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Master'!$F:$F,B1149),"")</f>
        <v>0.56699999999999995</v>
      </c>
      <c r="F1149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Master'!$F:$F,B1149),"")</f>
        <v>7.6999999999999999E-2</v>
      </c>
      <c r="G1149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Master'!$F:$F,B1149),"")</f>
        <v>143</v>
      </c>
      <c r="H1149">
        <f>IF(AND(ISNUMBER(C1149),C1149&gt;='Bulk Calculator'!U99/('Bulk Calculator'!J99*'Bulk Calculator'!L99)),1,0)</f>
        <v>1</v>
      </c>
      <c r="I1149">
        <f>IFERROR(IF(AND(ISNUMBER(E1149),ISNUMBER(F1149),E1149&gt;0,F1149&gt;0),SQRT(3)*'Bulk Calculator'!O99*'Bulk Calculator'!AA99*((E1149*'Bulk Calculator'!Q99)+(F1149*SQRT(1-'Bulk Calculator'!Q99^2)))/'Bulk Calculator'!J99/'Bulk Calculator'!K99*100,D1149*'Bulk Calculator'!AA99*'Bulk Calculator'!O99/'Bulk Calculator'!J99/'Bulk Calculator'!K99*100),"")</f>
        <v>0</v>
      </c>
      <c r="J1149">
        <f>IFERROR(IF(AND(ISNUMBER(E1149),ISNUMBER(F1149),E1149&gt;0,F1149&gt;0),SQRT(3)*'Bulk Calculator'!O99*'Bulk Calculator'!U99*((E1149*'Bulk Calculator'!M99)+(F1149*SQRT(1-'Bulk Calculator'!M99^2)))/'Bulk Calculator'!J99/'Bulk Calculator'!K99*100,D1149*'Bulk Calculator'!U99*'Bulk Calculator'!O99/'Bulk Calculator'!J99/'Bulk Calculator'!K99*100),"")</f>
        <v>0</v>
      </c>
      <c r="K1149">
        <f>IFERROR(G1149*B1149*'Bulk Calculator'!J99/SQRT('Bulk Calculator'!S99)/1000,"")</f>
        <v>22.383040454772893</v>
      </c>
      <c r="L1149">
        <f>IF(OR('Bulk Calculator'!R99="",'Bulk Calculator'!S99="",G1149=""),0,IF(K1149&gt;='Bulk Calculator'!R99,1,0))</f>
        <v>1</v>
      </c>
      <c r="M1149">
        <f>IF(AND(H1149=1,I1149&lt;='OS-DORAEN'!$B$6,J1149&lt;='OS-DORAEN'!$B$5,L1149=1),1,0)</f>
        <v>1</v>
      </c>
      <c r="N1149" t="str">
        <f t="shared" si="17"/>
        <v>R/X</v>
      </c>
    </row>
    <row r="1150" spans="1:14" ht="15" customHeight="1" x14ac:dyDescent="0.35">
      <c r="A1150">
        <v>99</v>
      </c>
      <c r="B1150">
        <v>50</v>
      </c>
      <c r="C1150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Master'!$F:$F,B1150),"")</f>
        <v>142</v>
      </c>
      <c r="D1150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Master'!$F:$F,B1150),"")</f>
        <v>0.82</v>
      </c>
      <c r="E1150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Master'!$F:$F,B1150),"")</f>
        <v>0.82</v>
      </c>
      <c r="F1150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Master'!$F:$F,B1150),"")</f>
        <v>7.8E-2</v>
      </c>
      <c r="G1150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Master'!$F:$F,B1150),"")</f>
        <v>143</v>
      </c>
      <c r="H1150">
        <f>IF(AND(ISNUMBER(C1150),C1150&gt;='Bulk Calculator'!U99/('Bulk Calculator'!J99*'Bulk Calculator'!L99)),1,0)</f>
        <v>1</v>
      </c>
      <c r="I1150">
        <f>IFERROR(IF(AND(ISNUMBER(E1150),ISNUMBER(F1150),E1150&gt;0,F1150&gt;0),SQRT(3)*'Bulk Calculator'!O99*'Bulk Calculator'!AA99*((E1150*'Bulk Calculator'!Q99)+(F1150*SQRT(1-'Bulk Calculator'!Q99^2)))/'Bulk Calculator'!J99/'Bulk Calculator'!K99*100,D1150*'Bulk Calculator'!AA99*'Bulk Calculator'!O99/'Bulk Calculator'!J99/'Bulk Calculator'!K99*100),"")</f>
        <v>0</v>
      </c>
      <c r="J1150">
        <f>IFERROR(IF(AND(ISNUMBER(E1150),ISNUMBER(F1150),E1150&gt;0,F1150&gt;0),SQRT(3)*'Bulk Calculator'!O99*'Bulk Calculator'!U99*((E1150*'Bulk Calculator'!M99)+(F1150*SQRT(1-'Bulk Calculator'!M99^2)))/'Bulk Calculator'!J99/'Bulk Calculator'!K99*100,D1150*'Bulk Calculator'!U99*'Bulk Calculator'!O99/'Bulk Calculator'!J99/'Bulk Calculator'!K99*100),"")</f>
        <v>0</v>
      </c>
      <c r="K1150">
        <f>IFERROR(G1150*B1150*'Bulk Calculator'!J99/SQRT('Bulk Calculator'!S99)/1000,"")</f>
        <v>15.987886039123497</v>
      </c>
      <c r="L1150">
        <f>IF(OR('Bulk Calculator'!R99="",'Bulk Calculator'!S99="",G1150=""),0,IF(K1150&gt;='Bulk Calculator'!R99,1,0))</f>
        <v>1</v>
      </c>
      <c r="M1150">
        <f>IF(AND(H1150=1,I1150&lt;='OS-DORAEN'!$B$6,J1150&lt;='OS-DORAEN'!$B$5,L1150=1),1,0)</f>
        <v>1</v>
      </c>
      <c r="N1150" t="str">
        <f t="shared" si="17"/>
        <v>R/X</v>
      </c>
    </row>
    <row r="1151" spans="1:14" ht="15" customHeight="1" x14ac:dyDescent="0.35">
      <c r="A1151">
        <v>99</v>
      </c>
      <c r="B1151">
        <v>35</v>
      </c>
      <c r="C1151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Master'!$F:$F,B1151),"")</f>
        <v>117</v>
      </c>
      <c r="D1151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Master'!$F:$F,B1151),"")</f>
        <v>1.1100000000000001</v>
      </c>
      <c r="E1151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Master'!$F:$F,B1151),"")</f>
        <v>1.1100000000000001</v>
      </c>
      <c r="F1151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Master'!$F:$F,B1151),"")</f>
        <v>0.08</v>
      </c>
      <c r="G1151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Master'!$F:$F,B1151),"")</f>
        <v>143</v>
      </c>
      <c r="H1151">
        <f>IF(AND(ISNUMBER(C1151),C1151&gt;='Bulk Calculator'!U99/('Bulk Calculator'!J99*'Bulk Calculator'!L99)),1,0)</f>
        <v>1</v>
      </c>
      <c r="I1151">
        <f>IFERROR(IF(AND(ISNUMBER(E1151),ISNUMBER(F1151),E1151&gt;0,F1151&gt;0),SQRT(3)*'Bulk Calculator'!O99*'Bulk Calculator'!AA99*((E1151*'Bulk Calculator'!Q99)+(F1151*SQRT(1-'Bulk Calculator'!Q99^2)))/'Bulk Calculator'!J99/'Bulk Calculator'!K99*100,D1151*'Bulk Calculator'!AA99*'Bulk Calculator'!O99/'Bulk Calculator'!J99/'Bulk Calculator'!K99*100),"")</f>
        <v>0</v>
      </c>
      <c r="J1151">
        <f>IFERROR(IF(AND(ISNUMBER(E1151),ISNUMBER(F1151),E1151&gt;0,F1151&gt;0),SQRT(3)*'Bulk Calculator'!O99*'Bulk Calculator'!U99*((E1151*'Bulk Calculator'!M99)+(F1151*SQRT(1-'Bulk Calculator'!M99^2)))/'Bulk Calculator'!J99/'Bulk Calculator'!K99*100,D1151*'Bulk Calculator'!U99*'Bulk Calculator'!O99/'Bulk Calculator'!J99/'Bulk Calculator'!K99*100),"")</f>
        <v>0</v>
      </c>
      <c r="K1151">
        <f>IFERROR(G1151*B1151*'Bulk Calculator'!J99/SQRT('Bulk Calculator'!S99)/1000,"")</f>
        <v>11.191520227386446</v>
      </c>
      <c r="L1151">
        <f>IF(OR('Bulk Calculator'!R99="",'Bulk Calculator'!S99="",G1151=""),0,IF(K1151&gt;='Bulk Calculator'!R99,1,0))</f>
        <v>1</v>
      </c>
      <c r="M1151">
        <f>IF(AND(H1151=1,I1151&lt;='OS-DORAEN'!$B$6,J1151&lt;='OS-DORAEN'!$B$5,L1151=1),1,0)</f>
        <v>1</v>
      </c>
      <c r="N1151" t="str">
        <f t="shared" si="17"/>
        <v>R/X</v>
      </c>
    </row>
    <row r="1152" spans="1:14" ht="15" customHeight="1" x14ac:dyDescent="0.35">
      <c r="A1152">
        <v>99</v>
      </c>
      <c r="B1152">
        <v>25</v>
      </c>
      <c r="C1152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Master'!$F:$F,B1152),"")</f>
        <v>96</v>
      </c>
      <c r="D1152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Master'!$F:$F,B1152),"")</f>
        <v>1.54</v>
      </c>
      <c r="E1152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Master'!$F:$F,B1152),"")</f>
        <v>1.54</v>
      </c>
      <c r="F1152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Master'!$F:$F,B1152),"")</f>
        <v>0.08</v>
      </c>
      <c r="G1152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Master'!$F:$F,B1152),"")</f>
        <v>143</v>
      </c>
      <c r="H1152">
        <f>IF(AND(ISNUMBER(C1152),C1152&gt;='Bulk Calculator'!U99/('Bulk Calculator'!J99*'Bulk Calculator'!L99)),1,0)</f>
        <v>1</v>
      </c>
      <c r="I1152">
        <f>IFERROR(IF(AND(ISNUMBER(E1152),ISNUMBER(F1152),E1152&gt;0,F1152&gt;0),SQRT(3)*'Bulk Calculator'!O99*'Bulk Calculator'!AA99*((E1152*'Bulk Calculator'!Q99)+(F1152*SQRT(1-'Bulk Calculator'!Q99^2)))/'Bulk Calculator'!J99/'Bulk Calculator'!K99*100,D1152*'Bulk Calculator'!AA99*'Bulk Calculator'!O99/'Bulk Calculator'!J99/'Bulk Calculator'!K99*100),"")</f>
        <v>0</v>
      </c>
      <c r="J1152">
        <f>IFERROR(IF(AND(ISNUMBER(E1152),ISNUMBER(F1152),E1152&gt;0,F1152&gt;0),SQRT(3)*'Bulk Calculator'!O99*'Bulk Calculator'!U99*((E1152*'Bulk Calculator'!M99)+(F1152*SQRT(1-'Bulk Calculator'!M99^2)))/'Bulk Calculator'!J99/'Bulk Calculator'!K99*100,D1152*'Bulk Calculator'!U99*'Bulk Calculator'!O99/'Bulk Calculator'!J99/'Bulk Calculator'!K99*100),"")</f>
        <v>0</v>
      </c>
      <c r="K1152">
        <f>IFERROR(G1152*B1152*'Bulk Calculator'!J99/SQRT('Bulk Calculator'!S99)/1000,"")</f>
        <v>7.9939430195617485</v>
      </c>
      <c r="L1152">
        <f>IF(OR('Bulk Calculator'!R99="",'Bulk Calculator'!S99="",G1152=""),0,IF(K1152&gt;='Bulk Calculator'!R99,1,0))</f>
        <v>1</v>
      </c>
      <c r="M1152">
        <f>IF(AND(H1152=1,I1152&lt;='OS-DORAEN'!$B$6,J1152&lt;='OS-DORAEN'!$B$5,L1152=1),1,0)</f>
        <v>1</v>
      </c>
      <c r="N1152" t="str">
        <f t="shared" si="17"/>
        <v>R/X</v>
      </c>
    </row>
    <row r="1153" spans="1:14" ht="15" customHeight="1" x14ac:dyDescent="0.35">
      <c r="A1153">
        <v>99</v>
      </c>
      <c r="B1153">
        <v>16</v>
      </c>
      <c r="C1153">
        <f>IFERROR(SUMIFS('Cable Data Master'!$G:$G,'Cable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Master'!$F:$F,B1153),"")</f>
        <v>0</v>
      </c>
      <c r="D1153">
        <f>IFERROR(SUMIFS('Cable Data Master'!$K:$K,'Cable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Master'!$F:$F,B1153),"")</f>
        <v>0</v>
      </c>
      <c r="E1153">
        <f>IFERROR(SUMIFS('Cable Data Master'!$H:$H,'Cable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Master'!$F:$F,B1153),"")</f>
        <v>0</v>
      </c>
      <c r="F1153">
        <f>IFERROR(SUMIFS('Cable Data Master'!$I:$I,'Cable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Master'!$F:$F,B1153),"")</f>
        <v>0</v>
      </c>
      <c r="G1153">
        <f>IFERROR(SUMIFS('Cable Data Master'!$J:$J,'Cable Data Master'!$A:$A,'Bulk Calculator'!$BF99,'Cable Data Master'!$B:$B,'Bulk Calculator'!$BG99,'Cable Data Master'!$C:$C,'Bulk Calculator'!$BH99,'Cable Data Master'!$D:$D,'Bulk Calculator'!$BI99,'Cable Data Master'!$E:$E,'Bulk Calculator'!$BJ99,'Cable Data Master'!$F:$F,B1153),"")</f>
        <v>0</v>
      </c>
      <c r="H1153">
        <f>IF(AND(ISNUMBER(C1153),C1153&gt;='Bulk Calculator'!U99/('Bulk Calculator'!J99*'Bulk Calculator'!L99)),1,0)</f>
        <v>1</v>
      </c>
      <c r="I1153">
        <f>IFERROR(IF(AND(ISNUMBER(E1153),ISNUMBER(F1153),E1153&gt;0,F1153&gt;0),SQRT(3)*'Bulk Calculator'!O99*'Bulk Calculator'!AA99*((E1153*'Bulk Calculator'!Q99)+(F1153*SQRT(1-'Bulk Calculator'!Q99^2)))/'Bulk Calculator'!J99/'Bulk Calculator'!K99*100,D1153*'Bulk Calculator'!AA99*'Bulk Calculator'!O99/'Bulk Calculator'!J99/'Bulk Calculator'!K99*100),"")</f>
        <v>0</v>
      </c>
      <c r="J1153">
        <f>IFERROR(IF(AND(ISNUMBER(E1153),ISNUMBER(F1153),E1153&gt;0,F1153&gt;0),SQRT(3)*'Bulk Calculator'!O99*'Bulk Calculator'!U99*((E1153*'Bulk Calculator'!M99)+(F1153*SQRT(1-'Bulk Calculator'!M99^2)))/'Bulk Calculator'!J99/'Bulk Calculator'!K99*100,D1153*'Bulk Calculator'!U99*'Bulk Calculator'!O99/'Bulk Calculator'!J99/'Bulk Calculator'!K99*100),"")</f>
        <v>0</v>
      </c>
      <c r="K1153">
        <f>IFERROR(G1153*B1153*'Bulk Calculator'!J99/SQRT('Bulk Calculator'!S99)/1000,"")</f>
        <v>0</v>
      </c>
      <c r="L1153">
        <f>IF(OR('Bulk Calculator'!R99="",'Bulk Calculator'!S99="",G1153=""),0,IF(K1153&gt;='Bulk Calculator'!R99,1,0))</f>
        <v>1</v>
      </c>
      <c r="M1153">
        <f>IF(AND(H1153=1,I1153&lt;='OS-DORAEN'!$B$6,J1153&lt;='OS-DORAEN'!$B$5,L1153=1),1,0)</f>
        <v>1</v>
      </c>
      <c r="N1153" t="str">
        <f t="shared" si="17"/>
        <v>Manufacturer VD Ref</v>
      </c>
    </row>
    <row r="1154" spans="1:14" ht="15" customHeight="1" x14ac:dyDescent="0.35">
      <c r="A1154">
        <v>100</v>
      </c>
      <c r="B1154">
        <v>400</v>
      </c>
      <c r="C1154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Master'!$F:$F,B1154),"")</f>
        <v>530</v>
      </c>
      <c r="D1154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Master'!$F:$F,B1154),"")</f>
        <v>0.1023</v>
      </c>
      <c r="E1154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Master'!$F:$F,B1154),"")</f>
        <v>0.1023</v>
      </c>
      <c r="F1154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Master'!$F:$F,B1154),"")</f>
        <v>7.0000000000000007E-2</v>
      </c>
      <c r="G1154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Master'!$F:$F,B1154),"")</f>
        <v>143</v>
      </c>
      <c r="H1154">
        <f>IF(AND(ISNUMBER(C1154),C1154&gt;='Bulk Calculator'!U100/('Bulk Calculator'!J100*'Bulk Calculator'!L100)),1,0)</f>
        <v>1</v>
      </c>
      <c r="I1154">
        <f>IFERROR(IF(AND(ISNUMBER(E1154),ISNUMBER(F1154),E1154&gt;0,F1154&gt;0),SQRT(3)*'Bulk Calculator'!O100*'Bulk Calculator'!AA100*((E1154*'Bulk Calculator'!Q100)+(F1154*SQRT(1-'Bulk Calculator'!Q100^2)))/'Bulk Calculator'!J100/'Bulk Calculator'!K100*100,D1154*'Bulk Calculator'!AA100*'Bulk Calculator'!O100/'Bulk Calculator'!J100/'Bulk Calculator'!K100*100),"")</f>
        <v>0</v>
      </c>
      <c r="J1154">
        <f>IFERROR(IF(AND(ISNUMBER(E1154),ISNUMBER(F1154),E1154&gt;0,F1154&gt;0),SQRT(3)*'Bulk Calculator'!O100*'Bulk Calculator'!U100*((E1154*'Bulk Calculator'!M100)+(F1154*SQRT(1-'Bulk Calculator'!M100^2)))/'Bulk Calculator'!J100/'Bulk Calculator'!K100*100,D1154*'Bulk Calculator'!U100*'Bulk Calculator'!O100/'Bulk Calculator'!J100/'Bulk Calculator'!K100*100),"")</f>
        <v>0</v>
      </c>
      <c r="K1154">
        <f>IFERROR(G1154*B1154*'Bulk Calculator'!J100/SQRT('Bulk Calculator'!S100)/1000,"")</f>
        <v>127.90308831298798</v>
      </c>
      <c r="L1154">
        <f>IF(OR('Bulk Calculator'!R100="",'Bulk Calculator'!S100="",G1154=""),0,IF(K1154&gt;='Bulk Calculator'!R100,1,0))</f>
        <v>1</v>
      </c>
      <c r="M1154">
        <f>IF(AND(H1154=1,I1154&lt;='OS-DORAEN'!$B$6,J1154&lt;='OS-DORAEN'!$B$5,L1154=1),1,0)</f>
        <v>1</v>
      </c>
      <c r="N1154" t="str">
        <f t="shared" ref="N1154:N1201" si="18">IF(AND(ISNUMBER(E1154),ISNUMBER(F1154),E1154&gt;0,F1154&gt;0),"R/X","Manufacturer VD Ref")</f>
        <v>R/X</v>
      </c>
    </row>
    <row r="1155" spans="1:14" ht="15" customHeight="1" x14ac:dyDescent="0.35">
      <c r="A1155">
        <v>100</v>
      </c>
      <c r="B1155">
        <v>300</v>
      </c>
      <c r="C1155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Master'!$F:$F,B1155),"")</f>
        <v>455</v>
      </c>
      <c r="D1155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Master'!$F:$F,B1155),"")</f>
        <v>0.13</v>
      </c>
      <c r="E1155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Master'!$F:$F,B1155),"")</f>
        <v>0.13</v>
      </c>
      <c r="F1155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Master'!$F:$F,B1155),"")</f>
        <v>7.0999999999999994E-2</v>
      </c>
      <c r="G1155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Master'!$F:$F,B1155),"")</f>
        <v>143</v>
      </c>
      <c r="H1155">
        <f>IF(AND(ISNUMBER(C1155),C1155&gt;='Bulk Calculator'!U100/('Bulk Calculator'!J100*'Bulk Calculator'!L100)),1,0)</f>
        <v>1</v>
      </c>
      <c r="I1155">
        <f>IFERROR(IF(AND(ISNUMBER(E1155),ISNUMBER(F1155),E1155&gt;0,F1155&gt;0),SQRT(3)*'Bulk Calculator'!O100*'Bulk Calculator'!AA100*((E1155*'Bulk Calculator'!Q100)+(F1155*SQRT(1-'Bulk Calculator'!Q100^2)))/'Bulk Calculator'!J100/'Bulk Calculator'!K100*100,D1155*'Bulk Calculator'!AA100*'Bulk Calculator'!O100/'Bulk Calculator'!J100/'Bulk Calculator'!K100*100),"")</f>
        <v>0</v>
      </c>
      <c r="J1155">
        <f>IFERROR(IF(AND(ISNUMBER(E1155),ISNUMBER(F1155),E1155&gt;0,F1155&gt;0),SQRT(3)*'Bulk Calculator'!O100*'Bulk Calculator'!U100*((E1155*'Bulk Calculator'!M100)+(F1155*SQRT(1-'Bulk Calculator'!M100^2)))/'Bulk Calculator'!J100/'Bulk Calculator'!K100*100,D1155*'Bulk Calculator'!U100*'Bulk Calculator'!O100/'Bulk Calculator'!J100/'Bulk Calculator'!K100*100),"")</f>
        <v>0</v>
      </c>
      <c r="K1155">
        <f>IFERROR(G1155*B1155*'Bulk Calculator'!J100/SQRT('Bulk Calculator'!S100)/1000,"")</f>
        <v>95.927316234740985</v>
      </c>
      <c r="L1155">
        <f>IF(OR('Bulk Calculator'!R100="",'Bulk Calculator'!S100="",G1155=""),0,IF(K1155&gt;='Bulk Calculator'!R100,1,0))</f>
        <v>1</v>
      </c>
      <c r="M1155">
        <f>IF(AND(H1155=1,I1155&lt;='OS-DORAEN'!$B$6,J1155&lt;='OS-DORAEN'!$B$5,L1155=1),1,0)</f>
        <v>1</v>
      </c>
      <c r="N1155" t="str">
        <f t="shared" si="18"/>
        <v>R/X</v>
      </c>
    </row>
    <row r="1156" spans="1:14" ht="15" customHeight="1" x14ac:dyDescent="0.35">
      <c r="A1156">
        <v>100</v>
      </c>
      <c r="B1156">
        <v>240</v>
      </c>
      <c r="C1156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Master'!$F:$F,B1156),"")</f>
        <v>399</v>
      </c>
      <c r="D1156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Master'!$F:$F,B1156),"")</f>
        <v>0.16200000000000001</v>
      </c>
      <c r="E1156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Master'!$F:$F,B1156),"")</f>
        <v>0.16200000000000001</v>
      </c>
      <c r="F1156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Master'!$F:$F,B1156),"")</f>
        <v>7.1999999999999995E-2</v>
      </c>
      <c r="G1156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Master'!$F:$F,B1156),"")</f>
        <v>143</v>
      </c>
      <c r="H1156">
        <f>IF(AND(ISNUMBER(C1156),C1156&gt;='Bulk Calculator'!U100/('Bulk Calculator'!J100*'Bulk Calculator'!L100)),1,0)</f>
        <v>1</v>
      </c>
      <c r="I1156">
        <f>IFERROR(IF(AND(ISNUMBER(E1156),ISNUMBER(F1156),E1156&gt;0,F1156&gt;0),SQRT(3)*'Bulk Calculator'!O100*'Bulk Calculator'!AA100*((E1156*'Bulk Calculator'!Q100)+(F1156*SQRT(1-'Bulk Calculator'!Q100^2)))/'Bulk Calculator'!J100/'Bulk Calculator'!K100*100,D1156*'Bulk Calculator'!AA100*'Bulk Calculator'!O100/'Bulk Calculator'!J100/'Bulk Calculator'!K100*100),"")</f>
        <v>0</v>
      </c>
      <c r="J1156">
        <f>IFERROR(IF(AND(ISNUMBER(E1156),ISNUMBER(F1156),E1156&gt;0,F1156&gt;0),SQRT(3)*'Bulk Calculator'!O100*'Bulk Calculator'!U100*((E1156*'Bulk Calculator'!M100)+(F1156*SQRT(1-'Bulk Calculator'!M100^2)))/'Bulk Calculator'!J100/'Bulk Calculator'!K100*100,D1156*'Bulk Calculator'!U100*'Bulk Calculator'!O100/'Bulk Calculator'!J100/'Bulk Calculator'!K100*100),"")</f>
        <v>0</v>
      </c>
      <c r="K1156">
        <f>IFERROR(G1156*B1156*'Bulk Calculator'!J100/SQRT('Bulk Calculator'!S100)/1000,"")</f>
        <v>76.741852987792782</v>
      </c>
      <c r="L1156">
        <f>IF(OR('Bulk Calculator'!R100="",'Bulk Calculator'!S100="",G1156=""),0,IF(K1156&gt;='Bulk Calculator'!R100,1,0))</f>
        <v>1</v>
      </c>
      <c r="M1156">
        <f>IF(AND(H1156=1,I1156&lt;='OS-DORAEN'!$B$6,J1156&lt;='OS-DORAEN'!$B$5,L1156=1),1,0)</f>
        <v>1</v>
      </c>
      <c r="N1156" t="str">
        <f t="shared" si="18"/>
        <v>R/X</v>
      </c>
    </row>
    <row r="1157" spans="1:14" ht="15" customHeight="1" x14ac:dyDescent="0.35">
      <c r="A1157">
        <v>100</v>
      </c>
      <c r="B1157">
        <v>185</v>
      </c>
      <c r="C1157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Master'!$F:$F,B1157),"")</f>
        <v>337</v>
      </c>
      <c r="D1157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Master'!$F:$F,B1157),"")</f>
        <v>0.21099999999999999</v>
      </c>
      <c r="E1157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Master'!$F:$F,B1157),"")</f>
        <v>0.21099999999999999</v>
      </c>
      <c r="F1157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Master'!$F:$F,B1157),"")</f>
        <v>7.1999999999999995E-2</v>
      </c>
      <c r="G1157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Master'!$F:$F,B1157),"")</f>
        <v>143</v>
      </c>
      <c r="H1157">
        <f>IF(AND(ISNUMBER(C1157),C1157&gt;='Bulk Calculator'!U100/('Bulk Calculator'!J100*'Bulk Calculator'!L100)),1,0)</f>
        <v>1</v>
      </c>
      <c r="I1157">
        <f>IFERROR(IF(AND(ISNUMBER(E1157),ISNUMBER(F1157),E1157&gt;0,F1157&gt;0),SQRT(3)*'Bulk Calculator'!O100*'Bulk Calculator'!AA100*((E1157*'Bulk Calculator'!Q100)+(F1157*SQRT(1-'Bulk Calculator'!Q100^2)))/'Bulk Calculator'!J100/'Bulk Calculator'!K100*100,D1157*'Bulk Calculator'!AA100*'Bulk Calculator'!O100/'Bulk Calculator'!J100/'Bulk Calculator'!K100*100),"")</f>
        <v>0</v>
      </c>
      <c r="J1157">
        <f>IFERROR(IF(AND(ISNUMBER(E1157),ISNUMBER(F1157),E1157&gt;0,F1157&gt;0),SQRT(3)*'Bulk Calculator'!O100*'Bulk Calculator'!U100*((E1157*'Bulk Calculator'!M100)+(F1157*SQRT(1-'Bulk Calculator'!M100^2)))/'Bulk Calculator'!J100/'Bulk Calculator'!K100*100,D1157*'Bulk Calculator'!U100*'Bulk Calculator'!O100/'Bulk Calculator'!J100/'Bulk Calculator'!K100*100),"")</f>
        <v>0</v>
      </c>
      <c r="K1157">
        <f>IFERROR(G1157*B1157*'Bulk Calculator'!J100/SQRT('Bulk Calculator'!S100)/1000,"")</f>
        <v>59.155178344756941</v>
      </c>
      <c r="L1157">
        <f>IF(OR('Bulk Calculator'!R100="",'Bulk Calculator'!S100="",G1157=""),0,IF(K1157&gt;='Bulk Calculator'!R100,1,0))</f>
        <v>1</v>
      </c>
      <c r="M1157">
        <f>IF(AND(H1157=1,I1157&lt;='OS-DORAEN'!$B$6,J1157&lt;='OS-DORAEN'!$B$5,L1157=1),1,0)</f>
        <v>1</v>
      </c>
      <c r="N1157" t="str">
        <f t="shared" si="18"/>
        <v>R/X</v>
      </c>
    </row>
    <row r="1158" spans="1:14" ht="15" customHeight="1" x14ac:dyDescent="0.35">
      <c r="A1158">
        <v>100</v>
      </c>
      <c r="B1158">
        <v>150</v>
      </c>
      <c r="C1158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Master'!$F:$F,B1158),"")</f>
        <v>292</v>
      </c>
      <c r="D1158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Master'!$F:$F,B1158),"")</f>
        <v>0.26500000000000001</v>
      </c>
      <c r="E1158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Master'!$F:$F,B1158),"")</f>
        <v>0.26500000000000001</v>
      </c>
      <c r="F1158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Master'!$F:$F,B1158),"")</f>
        <v>7.1999999999999995E-2</v>
      </c>
      <c r="G1158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Master'!$F:$F,B1158),"")</f>
        <v>143</v>
      </c>
      <c r="H1158">
        <f>IF(AND(ISNUMBER(C1158),C1158&gt;='Bulk Calculator'!U100/('Bulk Calculator'!J100*'Bulk Calculator'!L100)),1,0)</f>
        <v>1</v>
      </c>
      <c r="I1158">
        <f>IFERROR(IF(AND(ISNUMBER(E1158),ISNUMBER(F1158),E1158&gt;0,F1158&gt;0),SQRT(3)*'Bulk Calculator'!O100*'Bulk Calculator'!AA100*((E1158*'Bulk Calculator'!Q100)+(F1158*SQRT(1-'Bulk Calculator'!Q100^2)))/'Bulk Calculator'!J100/'Bulk Calculator'!K100*100,D1158*'Bulk Calculator'!AA100*'Bulk Calculator'!O100/'Bulk Calculator'!J100/'Bulk Calculator'!K100*100),"")</f>
        <v>0</v>
      </c>
      <c r="J1158">
        <f>IFERROR(IF(AND(ISNUMBER(E1158),ISNUMBER(F1158),E1158&gt;0,F1158&gt;0),SQRT(3)*'Bulk Calculator'!O100*'Bulk Calculator'!U100*((E1158*'Bulk Calculator'!M100)+(F1158*SQRT(1-'Bulk Calculator'!M100^2)))/'Bulk Calculator'!J100/'Bulk Calculator'!K100*100,D1158*'Bulk Calculator'!U100*'Bulk Calculator'!O100/'Bulk Calculator'!J100/'Bulk Calculator'!K100*100),"")</f>
        <v>0</v>
      </c>
      <c r="K1158">
        <f>IFERROR(G1158*B1158*'Bulk Calculator'!J100/SQRT('Bulk Calculator'!S100)/1000,"")</f>
        <v>47.963658117370493</v>
      </c>
      <c r="L1158">
        <f>IF(OR('Bulk Calculator'!R100="",'Bulk Calculator'!S100="",G1158=""),0,IF(K1158&gt;='Bulk Calculator'!R100,1,0))</f>
        <v>1</v>
      </c>
      <c r="M1158">
        <f>IF(AND(H1158=1,I1158&lt;='OS-DORAEN'!$B$6,J1158&lt;='OS-DORAEN'!$B$5,L1158=1),1,0)</f>
        <v>1</v>
      </c>
      <c r="N1158" t="str">
        <f t="shared" si="18"/>
        <v>R/X</v>
      </c>
    </row>
    <row r="1159" spans="1:14" ht="15" customHeight="1" x14ac:dyDescent="0.35">
      <c r="A1159">
        <v>100</v>
      </c>
      <c r="B1159">
        <v>120</v>
      </c>
      <c r="C1159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Master'!$F:$F,B1159),"")</f>
        <v>257</v>
      </c>
      <c r="D1159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Master'!$F:$F,B1159),"")</f>
        <v>0.32500000000000001</v>
      </c>
      <c r="E1159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Master'!$F:$F,B1159),"")</f>
        <v>0.32500000000000001</v>
      </c>
      <c r="F1159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Master'!$F:$F,B1159),"")</f>
        <v>7.1999999999999995E-2</v>
      </c>
      <c r="G1159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Master'!$F:$F,B1159),"")</f>
        <v>143</v>
      </c>
      <c r="H1159">
        <f>IF(AND(ISNUMBER(C1159),C1159&gt;='Bulk Calculator'!U100/('Bulk Calculator'!J100*'Bulk Calculator'!L100)),1,0)</f>
        <v>1</v>
      </c>
      <c r="I1159">
        <f>IFERROR(IF(AND(ISNUMBER(E1159),ISNUMBER(F1159),E1159&gt;0,F1159&gt;0),SQRT(3)*'Bulk Calculator'!O100*'Bulk Calculator'!AA100*((E1159*'Bulk Calculator'!Q100)+(F1159*SQRT(1-'Bulk Calculator'!Q100^2)))/'Bulk Calculator'!J100/'Bulk Calculator'!K100*100,D1159*'Bulk Calculator'!AA100*'Bulk Calculator'!O100/'Bulk Calculator'!J100/'Bulk Calculator'!K100*100),"")</f>
        <v>0</v>
      </c>
      <c r="J1159">
        <f>IFERROR(IF(AND(ISNUMBER(E1159),ISNUMBER(F1159),E1159&gt;0,F1159&gt;0),SQRT(3)*'Bulk Calculator'!O100*'Bulk Calculator'!U100*((E1159*'Bulk Calculator'!M100)+(F1159*SQRT(1-'Bulk Calculator'!M100^2)))/'Bulk Calculator'!J100/'Bulk Calculator'!K100*100,D1159*'Bulk Calculator'!U100*'Bulk Calculator'!O100/'Bulk Calculator'!J100/'Bulk Calculator'!K100*100),"")</f>
        <v>0</v>
      </c>
      <c r="K1159">
        <f>IFERROR(G1159*B1159*'Bulk Calculator'!J100/SQRT('Bulk Calculator'!S100)/1000,"")</f>
        <v>38.370926493896391</v>
      </c>
      <c r="L1159">
        <f>IF(OR('Bulk Calculator'!R100="",'Bulk Calculator'!S100="",G1159=""),0,IF(K1159&gt;='Bulk Calculator'!R100,1,0))</f>
        <v>1</v>
      </c>
      <c r="M1159">
        <f>IF(AND(H1159=1,I1159&lt;='OS-DORAEN'!$B$6,J1159&lt;='OS-DORAEN'!$B$5,L1159=1),1,0)</f>
        <v>1</v>
      </c>
      <c r="N1159" t="str">
        <f t="shared" si="18"/>
        <v>R/X</v>
      </c>
    </row>
    <row r="1160" spans="1:14" ht="15" customHeight="1" x14ac:dyDescent="0.35">
      <c r="A1160">
        <v>100</v>
      </c>
      <c r="B1160">
        <v>95</v>
      </c>
      <c r="C1160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Master'!$F:$F,B1160),"")</f>
        <v>221</v>
      </c>
      <c r="D1160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Master'!$F:$F,B1160),"")</f>
        <v>0.41</v>
      </c>
      <c r="E1160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Master'!$F:$F,B1160),"")</f>
        <v>0.41</v>
      </c>
      <c r="F1160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Master'!$F:$F,B1160),"")</f>
        <v>7.3999999999999996E-2</v>
      </c>
      <c r="G1160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Master'!$F:$F,B1160),"")</f>
        <v>143</v>
      </c>
      <c r="H1160">
        <f>IF(AND(ISNUMBER(C1160),C1160&gt;='Bulk Calculator'!U100/('Bulk Calculator'!J100*'Bulk Calculator'!L100)),1,0)</f>
        <v>1</v>
      </c>
      <c r="I1160">
        <f>IFERROR(IF(AND(ISNUMBER(E1160),ISNUMBER(F1160),E1160&gt;0,F1160&gt;0),SQRT(3)*'Bulk Calculator'!O100*'Bulk Calculator'!AA100*((E1160*'Bulk Calculator'!Q100)+(F1160*SQRT(1-'Bulk Calculator'!Q100^2)))/'Bulk Calculator'!J100/'Bulk Calculator'!K100*100,D1160*'Bulk Calculator'!AA100*'Bulk Calculator'!O100/'Bulk Calculator'!J100/'Bulk Calculator'!K100*100),"")</f>
        <v>0</v>
      </c>
      <c r="J1160">
        <f>IFERROR(IF(AND(ISNUMBER(E1160),ISNUMBER(F1160),E1160&gt;0,F1160&gt;0),SQRT(3)*'Bulk Calculator'!O100*'Bulk Calculator'!U100*((E1160*'Bulk Calculator'!M100)+(F1160*SQRT(1-'Bulk Calculator'!M100^2)))/'Bulk Calculator'!J100/'Bulk Calculator'!K100*100,D1160*'Bulk Calculator'!U100*'Bulk Calculator'!O100/'Bulk Calculator'!J100/'Bulk Calculator'!K100*100),"")</f>
        <v>0</v>
      </c>
      <c r="K1160">
        <f>IFERROR(G1160*B1160*'Bulk Calculator'!J100/SQRT('Bulk Calculator'!S100)/1000,"")</f>
        <v>30.376983474334644</v>
      </c>
      <c r="L1160">
        <f>IF(OR('Bulk Calculator'!R100="",'Bulk Calculator'!S100="",G1160=""),0,IF(K1160&gt;='Bulk Calculator'!R100,1,0))</f>
        <v>1</v>
      </c>
      <c r="M1160">
        <f>IF(AND(H1160=1,I1160&lt;='OS-DORAEN'!$B$6,J1160&lt;='OS-DORAEN'!$B$5,L1160=1),1,0)</f>
        <v>1</v>
      </c>
      <c r="N1160" t="str">
        <f t="shared" si="18"/>
        <v>R/X</v>
      </c>
    </row>
    <row r="1161" spans="1:14" ht="15" customHeight="1" x14ac:dyDescent="0.35">
      <c r="A1161">
        <v>100</v>
      </c>
      <c r="B1161">
        <v>70</v>
      </c>
      <c r="C1161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Master'!$F:$F,B1161),"")</f>
        <v>179</v>
      </c>
      <c r="D1161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Master'!$F:$F,B1161),"")</f>
        <v>0.56699999999999995</v>
      </c>
      <c r="E1161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Master'!$F:$F,B1161),"")</f>
        <v>0.56699999999999995</v>
      </c>
      <c r="F1161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Master'!$F:$F,B1161),"")</f>
        <v>7.6999999999999999E-2</v>
      </c>
      <c r="G1161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Master'!$F:$F,B1161),"")</f>
        <v>143</v>
      </c>
      <c r="H1161">
        <f>IF(AND(ISNUMBER(C1161),C1161&gt;='Bulk Calculator'!U100/('Bulk Calculator'!J100*'Bulk Calculator'!L100)),1,0)</f>
        <v>1</v>
      </c>
      <c r="I1161">
        <f>IFERROR(IF(AND(ISNUMBER(E1161),ISNUMBER(F1161),E1161&gt;0,F1161&gt;0),SQRT(3)*'Bulk Calculator'!O100*'Bulk Calculator'!AA100*((E1161*'Bulk Calculator'!Q100)+(F1161*SQRT(1-'Bulk Calculator'!Q100^2)))/'Bulk Calculator'!J100/'Bulk Calculator'!K100*100,D1161*'Bulk Calculator'!AA100*'Bulk Calculator'!O100/'Bulk Calculator'!J100/'Bulk Calculator'!K100*100),"")</f>
        <v>0</v>
      </c>
      <c r="J1161">
        <f>IFERROR(IF(AND(ISNUMBER(E1161),ISNUMBER(F1161),E1161&gt;0,F1161&gt;0),SQRT(3)*'Bulk Calculator'!O100*'Bulk Calculator'!U100*((E1161*'Bulk Calculator'!M100)+(F1161*SQRT(1-'Bulk Calculator'!M100^2)))/'Bulk Calculator'!J100/'Bulk Calculator'!K100*100,D1161*'Bulk Calculator'!U100*'Bulk Calculator'!O100/'Bulk Calculator'!J100/'Bulk Calculator'!K100*100),"")</f>
        <v>0</v>
      </c>
      <c r="K1161">
        <f>IFERROR(G1161*B1161*'Bulk Calculator'!J100/SQRT('Bulk Calculator'!S100)/1000,"")</f>
        <v>22.383040454772893</v>
      </c>
      <c r="L1161">
        <f>IF(OR('Bulk Calculator'!R100="",'Bulk Calculator'!S100="",G1161=""),0,IF(K1161&gt;='Bulk Calculator'!R100,1,0))</f>
        <v>1</v>
      </c>
      <c r="M1161">
        <f>IF(AND(H1161=1,I1161&lt;='OS-DORAEN'!$B$6,J1161&lt;='OS-DORAEN'!$B$5,L1161=1),1,0)</f>
        <v>1</v>
      </c>
      <c r="N1161" t="str">
        <f t="shared" si="18"/>
        <v>R/X</v>
      </c>
    </row>
    <row r="1162" spans="1:14" ht="15" customHeight="1" x14ac:dyDescent="0.35">
      <c r="A1162">
        <v>100</v>
      </c>
      <c r="B1162">
        <v>50</v>
      </c>
      <c r="C1162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Master'!$F:$F,B1162),"")</f>
        <v>142</v>
      </c>
      <c r="D1162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Master'!$F:$F,B1162),"")</f>
        <v>0.82</v>
      </c>
      <c r="E1162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Master'!$F:$F,B1162),"")</f>
        <v>0.82</v>
      </c>
      <c r="F1162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Master'!$F:$F,B1162),"")</f>
        <v>7.8E-2</v>
      </c>
      <c r="G1162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Master'!$F:$F,B1162),"")</f>
        <v>143</v>
      </c>
      <c r="H1162">
        <f>IF(AND(ISNUMBER(C1162),C1162&gt;='Bulk Calculator'!U100/('Bulk Calculator'!J100*'Bulk Calculator'!L100)),1,0)</f>
        <v>1</v>
      </c>
      <c r="I1162">
        <f>IFERROR(IF(AND(ISNUMBER(E1162),ISNUMBER(F1162),E1162&gt;0,F1162&gt;0),SQRT(3)*'Bulk Calculator'!O100*'Bulk Calculator'!AA100*((E1162*'Bulk Calculator'!Q100)+(F1162*SQRT(1-'Bulk Calculator'!Q100^2)))/'Bulk Calculator'!J100/'Bulk Calculator'!K100*100,D1162*'Bulk Calculator'!AA100*'Bulk Calculator'!O100/'Bulk Calculator'!J100/'Bulk Calculator'!K100*100),"")</f>
        <v>0</v>
      </c>
      <c r="J1162">
        <f>IFERROR(IF(AND(ISNUMBER(E1162),ISNUMBER(F1162),E1162&gt;0,F1162&gt;0),SQRT(3)*'Bulk Calculator'!O100*'Bulk Calculator'!U100*((E1162*'Bulk Calculator'!M100)+(F1162*SQRT(1-'Bulk Calculator'!M100^2)))/'Bulk Calculator'!J100/'Bulk Calculator'!K100*100,D1162*'Bulk Calculator'!U100*'Bulk Calculator'!O100/'Bulk Calculator'!J100/'Bulk Calculator'!K100*100),"")</f>
        <v>0</v>
      </c>
      <c r="K1162">
        <f>IFERROR(G1162*B1162*'Bulk Calculator'!J100/SQRT('Bulk Calculator'!S100)/1000,"")</f>
        <v>15.987886039123497</v>
      </c>
      <c r="L1162">
        <f>IF(OR('Bulk Calculator'!R100="",'Bulk Calculator'!S100="",G1162=""),0,IF(K1162&gt;='Bulk Calculator'!R100,1,0))</f>
        <v>1</v>
      </c>
      <c r="M1162">
        <f>IF(AND(H1162=1,I1162&lt;='OS-DORAEN'!$B$6,J1162&lt;='OS-DORAEN'!$B$5,L1162=1),1,0)</f>
        <v>1</v>
      </c>
      <c r="N1162" t="str">
        <f t="shared" si="18"/>
        <v>R/X</v>
      </c>
    </row>
    <row r="1163" spans="1:14" ht="15" customHeight="1" x14ac:dyDescent="0.35">
      <c r="A1163">
        <v>100</v>
      </c>
      <c r="B1163">
        <v>35</v>
      </c>
      <c r="C1163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Master'!$F:$F,B1163),"")</f>
        <v>117</v>
      </c>
      <c r="D1163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Master'!$F:$F,B1163),"")</f>
        <v>1.1100000000000001</v>
      </c>
      <c r="E1163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Master'!$F:$F,B1163),"")</f>
        <v>1.1100000000000001</v>
      </c>
      <c r="F1163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Master'!$F:$F,B1163),"")</f>
        <v>0.08</v>
      </c>
      <c r="G1163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Master'!$F:$F,B1163),"")</f>
        <v>143</v>
      </c>
      <c r="H1163">
        <f>IF(AND(ISNUMBER(C1163),C1163&gt;='Bulk Calculator'!U100/('Bulk Calculator'!J100*'Bulk Calculator'!L100)),1,0)</f>
        <v>1</v>
      </c>
      <c r="I1163">
        <f>IFERROR(IF(AND(ISNUMBER(E1163),ISNUMBER(F1163),E1163&gt;0,F1163&gt;0),SQRT(3)*'Bulk Calculator'!O100*'Bulk Calculator'!AA100*((E1163*'Bulk Calculator'!Q100)+(F1163*SQRT(1-'Bulk Calculator'!Q100^2)))/'Bulk Calculator'!J100/'Bulk Calculator'!K100*100,D1163*'Bulk Calculator'!AA100*'Bulk Calculator'!O100/'Bulk Calculator'!J100/'Bulk Calculator'!K100*100),"")</f>
        <v>0</v>
      </c>
      <c r="J1163">
        <f>IFERROR(IF(AND(ISNUMBER(E1163),ISNUMBER(F1163),E1163&gt;0,F1163&gt;0),SQRT(3)*'Bulk Calculator'!O100*'Bulk Calculator'!U100*((E1163*'Bulk Calculator'!M100)+(F1163*SQRT(1-'Bulk Calculator'!M100^2)))/'Bulk Calculator'!J100/'Bulk Calculator'!K100*100,D1163*'Bulk Calculator'!U100*'Bulk Calculator'!O100/'Bulk Calculator'!J100/'Bulk Calculator'!K100*100),"")</f>
        <v>0</v>
      </c>
      <c r="K1163">
        <f>IFERROR(G1163*B1163*'Bulk Calculator'!J100/SQRT('Bulk Calculator'!S100)/1000,"")</f>
        <v>11.191520227386446</v>
      </c>
      <c r="L1163">
        <f>IF(OR('Bulk Calculator'!R100="",'Bulk Calculator'!S100="",G1163=""),0,IF(K1163&gt;='Bulk Calculator'!R100,1,0))</f>
        <v>1</v>
      </c>
      <c r="M1163">
        <f>IF(AND(H1163=1,I1163&lt;='OS-DORAEN'!$B$6,J1163&lt;='OS-DORAEN'!$B$5,L1163=1),1,0)</f>
        <v>1</v>
      </c>
      <c r="N1163" t="str">
        <f t="shared" si="18"/>
        <v>R/X</v>
      </c>
    </row>
    <row r="1164" spans="1:14" ht="15" customHeight="1" x14ac:dyDescent="0.35">
      <c r="A1164">
        <v>100</v>
      </c>
      <c r="B1164">
        <v>25</v>
      </c>
      <c r="C1164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Master'!$F:$F,B1164),"")</f>
        <v>96</v>
      </c>
      <c r="D1164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Master'!$F:$F,B1164),"")</f>
        <v>1.54</v>
      </c>
      <c r="E1164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Master'!$F:$F,B1164),"")</f>
        <v>1.54</v>
      </c>
      <c r="F1164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Master'!$F:$F,B1164),"")</f>
        <v>0.08</v>
      </c>
      <c r="G1164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Master'!$F:$F,B1164),"")</f>
        <v>143</v>
      </c>
      <c r="H1164">
        <f>IF(AND(ISNUMBER(C1164),C1164&gt;='Bulk Calculator'!U100/('Bulk Calculator'!J100*'Bulk Calculator'!L100)),1,0)</f>
        <v>1</v>
      </c>
      <c r="I1164">
        <f>IFERROR(IF(AND(ISNUMBER(E1164),ISNUMBER(F1164),E1164&gt;0,F1164&gt;0),SQRT(3)*'Bulk Calculator'!O100*'Bulk Calculator'!AA100*((E1164*'Bulk Calculator'!Q100)+(F1164*SQRT(1-'Bulk Calculator'!Q100^2)))/'Bulk Calculator'!J100/'Bulk Calculator'!K100*100,D1164*'Bulk Calculator'!AA100*'Bulk Calculator'!O100/'Bulk Calculator'!J100/'Bulk Calculator'!K100*100),"")</f>
        <v>0</v>
      </c>
      <c r="J1164">
        <f>IFERROR(IF(AND(ISNUMBER(E1164),ISNUMBER(F1164),E1164&gt;0,F1164&gt;0),SQRT(3)*'Bulk Calculator'!O100*'Bulk Calculator'!U100*((E1164*'Bulk Calculator'!M100)+(F1164*SQRT(1-'Bulk Calculator'!M100^2)))/'Bulk Calculator'!J100/'Bulk Calculator'!K100*100,D1164*'Bulk Calculator'!U100*'Bulk Calculator'!O100/'Bulk Calculator'!J100/'Bulk Calculator'!K100*100),"")</f>
        <v>0</v>
      </c>
      <c r="K1164">
        <f>IFERROR(G1164*B1164*'Bulk Calculator'!J100/SQRT('Bulk Calculator'!S100)/1000,"")</f>
        <v>7.9939430195617485</v>
      </c>
      <c r="L1164">
        <f>IF(OR('Bulk Calculator'!R100="",'Bulk Calculator'!S100="",G1164=""),0,IF(K1164&gt;='Bulk Calculator'!R100,1,0))</f>
        <v>1</v>
      </c>
      <c r="M1164">
        <f>IF(AND(H1164=1,I1164&lt;='OS-DORAEN'!$B$6,J1164&lt;='OS-DORAEN'!$B$5,L1164=1),1,0)</f>
        <v>1</v>
      </c>
      <c r="N1164" t="str">
        <f t="shared" si="18"/>
        <v>R/X</v>
      </c>
    </row>
    <row r="1165" spans="1:14" ht="15" customHeight="1" x14ac:dyDescent="0.35">
      <c r="A1165">
        <v>100</v>
      </c>
      <c r="B1165">
        <v>16</v>
      </c>
      <c r="C1165">
        <f>IFERROR(SUMIFS('Cable Data Master'!$G:$G,'Cable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Master'!$F:$F,B1165),"")</f>
        <v>0</v>
      </c>
      <c r="D1165">
        <f>IFERROR(SUMIFS('Cable Data Master'!$K:$K,'Cable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Master'!$F:$F,B1165),"")</f>
        <v>0</v>
      </c>
      <c r="E1165">
        <f>IFERROR(SUMIFS('Cable Data Master'!$H:$H,'Cable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Master'!$F:$F,B1165),"")</f>
        <v>0</v>
      </c>
      <c r="F1165">
        <f>IFERROR(SUMIFS('Cable Data Master'!$I:$I,'Cable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Master'!$F:$F,B1165),"")</f>
        <v>0</v>
      </c>
      <c r="G1165">
        <f>IFERROR(SUMIFS('Cable Data Master'!$J:$J,'Cable Data Master'!$A:$A,'Bulk Calculator'!$BF100,'Cable Data Master'!$B:$B,'Bulk Calculator'!$BG100,'Cable Data Master'!$C:$C,'Bulk Calculator'!$BH100,'Cable Data Master'!$D:$D,'Bulk Calculator'!$BI100,'Cable Data Master'!$E:$E,'Bulk Calculator'!$BJ100,'Cable Data Master'!$F:$F,B1165),"")</f>
        <v>0</v>
      </c>
      <c r="H1165">
        <f>IF(AND(ISNUMBER(C1165),C1165&gt;='Bulk Calculator'!U100/('Bulk Calculator'!J100*'Bulk Calculator'!L100)),1,0)</f>
        <v>1</v>
      </c>
      <c r="I1165">
        <f>IFERROR(IF(AND(ISNUMBER(E1165),ISNUMBER(F1165),E1165&gt;0,F1165&gt;0),SQRT(3)*'Bulk Calculator'!O100*'Bulk Calculator'!AA100*((E1165*'Bulk Calculator'!Q100)+(F1165*SQRT(1-'Bulk Calculator'!Q100^2)))/'Bulk Calculator'!J100/'Bulk Calculator'!K100*100,D1165*'Bulk Calculator'!AA100*'Bulk Calculator'!O100/'Bulk Calculator'!J100/'Bulk Calculator'!K100*100),"")</f>
        <v>0</v>
      </c>
      <c r="J1165">
        <f>IFERROR(IF(AND(ISNUMBER(E1165),ISNUMBER(F1165),E1165&gt;0,F1165&gt;0),SQRT(3)*'Bulk Calculator'!O100*'Bulk Calculator'!U100*((E1165*'Bulk Calculator'!M100)+(F1165*SQRT(1-'Bulk Calculator'!M100^2)))/'Bulk Calculator'!J100/'Bulk Calculator'!K100*100,D1165*'Bulk Calculator'!U100*'Bulk Calculator'!O100/'Bulk Calculator'!J100/'Bulk Calculator'!K100*100),"")</f>
        <v>0</v>
      </c>
      <c r="K1165">
        <f>IFERROR(G1165*B1165*'Bulk Calculator'!J100/SQRT('Bulk Calculator'!S100)/1000,"")</f>
        <v>0</v>
      </c>
      <c r="L1165">
        <f>IF(OR('Bulk Calculator'!R100="",'Bulk Calculator'!S100="",G1165=""),0,IF(K1165&gt;='Bulk Calculator'!R100,1,0))</f>
        <v>1</v>
      </c>
      <c r="M1165">
        <f>IF(AND(H1165=1,I1165&lt;='OS-DORAEN'!$B$6,J1165&lt;='OS-DORAEN'!$B$5,L1165=1),1,0)</f>
        <v>1</v>
      </c>
      <c r="N1165" t="str">
        <f t="shared" si="18"/>
        <v>Manufacturer VD Ref</v>
      </c>
    </row>
    <row r="1166" spans="1:14" ht="15" customHeight="1" x14ac:dyDescent="0.35">
      <c r="A1166">
        <v>101</v>
      </c>
      <c r="B1166">
        <v>400</v>
      </c>
      <c r="C1166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Master'!$F:$F,B1166),"")</f>
        <v>530</v>
      </c>
      <c r="D1166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Master'!$F:$F,B1166),"")</f>
        <v>0.1023</v>
      </c>
      <c r="E1166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Master'!$F:$F,B1166),"")</f>
        <v>0.1023</v>
      </c>
      <c r="F1166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Master'!$F:$F,B1166),"")</f>
        <v>7.0000000000000007E-2</v>
      </c>
      <c r="G1166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Master'!$F:$F,B1166),"")</f>
        <v>143</v>
      </c>
      <c r="H1166">
        <f>IF(AND(ISNUMBER(C1166),C1166&gt;='Bulk Calculator'!U101/('Bulk Calculator'!J101*'Bulk Calculator'!L101)),1,0)</f>
        <v>1</v>
      </c>
      <c r="I1166">
        <f>IFERROR(IF(AND(ISNUMBER(E1166),ISNUMBER(F1166),E1166&gt;0,F1166&gt;0),SQRT(3)*'Bulk Calculator'!O101*'Bulk Calculator'!AA101*((E1166*'Bulk Calculator'!Q101)+(F1166*SQRT(1-'Bulk Calculator'!Q101^2)))/'Bulk Calculator'!J101/'Bulk Calculator'!K101*100,D1166*'Bulk Calculator'!AA101*'Bulk Calculator'!O101/'Bulk Calculator'!J101/'Bulk Calculator'!K101*100),"")</f>
        <v>0</v>
      </c>
      <c r="J1166">
        <f>IFERROR(IF(AND(ISNUMBER(E1166),ISNUMBER(F1166),E1166&gt;0,F1166&gt;0),SQRT(3)*'Bulk Calculator'!O101*'Bulk Calculator'!U101*((E1166*'Bulk Calculator'!M101)+(F1166*SQRT(1-'Bulk Calculator'!M101^2)))/'Bulk Calculator'!J101/'Bulk Calculator'!K101*100,D1166*'Bulk Calculator'!U101*'Bulk Calculator'!O101/'Bulk Calculator'!J101/'Bulk Calculator'!K101*100),"")</f>
        <v>0</v>
      </c>
      <c r="K1166">
        <f>IFERROR(G1166*B1166*'Bulk Calculator'!J101/SQRT('Bulk Calculator'!S101)/1000,"")</f>
        <v>127.90308831298798</v>
      </c>
      <c r="L1166">
        <f>IF(OR('Bulk Calculator'!R101="",'Bulk Calculator'!S101="",G1166=""),0,IF(K1166&gt;='Bulk Calculator'!R101,1,0))</f>
        <v>1</v>
      </c>
      <c r="M1166">
        <f>IF(AND(H1166=1,I1166&lt;='OS-DORAEN'!$B$6,J1166&lt;='OS-DORAEN'!$B$5,L1166=1),1,0)</f>
        <v>1</v>
      </c>
      <c r="N1166" t="str">
        <f t="shared" si="18"/>
        <v>R/X</v>
      </c>
    </row>
    <row r="1167" spans="1:14" ht="15" customHeight="1" x14ac:dyDescent="0.35">
      <c r="A1167">
        <v>101</v>
      </c>
      <c r="B1167">
        <v>300</v>
      </c>
      <c r="C1167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Master'!$F:$F,B1167),"")</f>
        <v>455</v>
      </c>
      <c r="D1167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Master'!$F:$F,B1167),"")</f>
        <v>0.13</v>
      </c>
      <c r="E1167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Master'!$F:$F,B1167),"")</f>
        <v>0.13</v>
      </c>
      <c r="F1167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Master'!$F:$F,B1167),"")</f>
        <v>7.0999999999999994E-2</v>
      </c>
      <c r="G1167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Master'!$F:$F,B1167),"")</f>
        <v>143</v>
      </c>
      <c r="H1167">
        <f>IF(AND(ISNUMBER(C1167),C1167&gt;='Bulk Calculator'!U101/('Bulk Calculator'!J101*'Bulk Calculator'!L101)),1,0)</f>
        <v>1</v>
      </c>
      <c r="I1167">
        <f>IFERROR(IF(AND(ISNUMBER(E1167),ISNUMBER(F1167),E1167&gt;0,F1167&gt;0),SQRT(3)*'Bulk Calculator'!O101*'Bulk Calculator'!AA101*((E1167*'Bulk Calculator'!Q101)+(F1167*SQRT(1-'Bulk Calculator'!Q101^2)))/'Bulk Calculator'!J101/'Bulk Calculator'!K101*100,D1167*'Bulk Calculator'!AA101*'Bulk Calculator'!O101/'Bulk Calculator'!J101/'Bulk Calculator'!K101*100),"")</f>
        <v>0</v>
      </c>
      <c r="J1167">
        <f>IFERROR(IF(AND(ISNUMBER(E1167),ISNUMBER(F1167),E1167&gt;0,F1167&gt;0),SQRT(3)*'Bulk Calculator'!O101*'Bulk Calculator'!U101*((E1167*'Bulk Calculator'!M101)+(F1167*SQRT(1-'Bulk Calculator'!M101^2)))/'Bulk Calculator'!J101/'Bulk Calculator'!K101*100,D1167*'Bulk Calculator'!U101*'Bulk Calculator'!O101/'Bulk Calculator'!J101/'Bulk Calculator'!K101*100),"")</f>
        <v>0</v>
      </c>
      <c r="K1167">
        <f>IFERROR(G1167*B1167*'Bulk Calculator'!J101/SQRT('Bulk Calculator'!S101)/1000,"")</f>
        <v>95.927316234740985</v>
      </c>
      <c r="L1167">
        <f>IF(OR('Bulk Calculator'!R101="",'Bulk Calculator'!S101="",G1167=""),0,IF(K1167&gt;='Bulk Calculator'!R101,1,0))</f>
        <v>1</v>
      </c>
      <c r="M1167">
        <f>IF(AND(H1167=1,I1167&lt;='OS-DORAEN'!$B$6,J1167&lt;='OS-DORAEN'!$B$5,L1167=1),1,0)</f>
        <v>1</v>
      </c>
      <c r="N1167" t="str">
        <f t="shared" si="18"/>
        <v>R/X</v>
      </c>
    </row>
    <row r="1168" spans="1:14" ht="15" customHeight="1" x14ac:dyDescent="0.35">
      <c r="A1168">
        <v>101</v>
      </c>
      <c r="B1168">
        <v>240</v>
      </c>
      <c r="C1168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Master'!$F:$F,B1168),"")</f>
        <v>399</v>
      </c>
      <c r="D1168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Master'!$F:$F,B1168),"")</f>
        <v>0.16200000000000001</v>
      </c>
      <c r="E1168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Master'!$F:$F,B1168),"")</f>
        <v>0.16200000000000001</v>
      </c>
      <c r="F1168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Master'!$F:$F,B1168),"")</f>
        <v>7.1999999999999995E-2</v>
      </c>
      <c r="G1168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Master'!$F:$F,B1168),"")</f>
        <v>143</v>
      </c>
      <c r="H1168">
        <f>IF(AND(ISNUMBER(C1168),C1168&gt;='Bulk Calculator'!U101/('Bulk Calculator'!J101*'Bulk Calculator'!L101)),1,0)</f>
        <v>1</v>
      </c>
      <c r="I1168">
        <f>IFERROR(IF(AND(ISNUMBER(E1168),ISNUMBER(F1168),E1168&gt;0,F1168&gt;0),SQRT(3)*'Bulk Calculator'!O101*'Bulk Calculator'!AA101*((E1168*'Bulk Calculator'!Q101)+(F1168*SQRT(1-'Bulk Calculator'!Q101^2)))/'Bulk Calculator'!J101/'Bulk Calculator'!K101*100,D1168*'Bulk Calculator'!AA101*'Bulk Calculator'!O101/'Bulk Calculator'!J101/'Bulk Calculator'!K101*100),"")</f>
        <v>0</v>
      </c>
      <c r="J1168">
        <f>IFERROR(IF(AND(ISNUMBER(E1168),ISNUMBER(F1168),E1168&gt;0,F1168&gt;0),SQRT(3)*'Bulk Calculator'!O101*'Bulk Calculator'!U101*((E1168*'Bulk Calculator'!M101)+(F1168*SQRT(1-'Bulk Calculator'!M101^2)))/'Bulk Calculator'!J101/'Bulk Calculator'!K101*100,D1168*'Bulk Calculator'!U101*'Bulk Calculator'!O101/'Bulk Calculator'!J101/'Bulk Calculator'!K101*100),"")</f>
        <v>0</v>
      </c>
      <c r="K1168">
        <f>IFERROR(G1168*B1168*'Bulk Calculator'!J101/SQRT('Bulk Calculator'!S101)/1000,"")</f>
        <v>76.741852987792782</v>
      </c>
      <c r="L1168">
        <f>IF(OR('Bulk Calculator'!R101="",'Bulk Calculator'!S101="",G1168=""),0,IF(K1168&gt;='Bulk Calculator'!R101,1,0))</f>
        <v>1</v>
      </c>
      <c r="M1168">
        <f>IF(AND(H1168=1,I1168&lt;='OS-DORAEN'!$B$6,J1168&lt;='OS-DORAEN'!$B$5,L1168=1),1,0)</f>
        <v>1</v>
      </c>
      <c r="N1168" t="str">
        <f t="shared" si="18"/>
        <v>R/X</v>
      </c>
    </row>
    <row r="1169" spans="1:14" ht="15" customHeight="1" x14ac:dyDescent="0.35">
      <c r="A1169">
        <v>101</v>
      </c>
      <c r="B1169">
        <v>185</v>
      </c>
      <c r="C1169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Master'!$F:$F,B1169),"")</f>
        <v>337</v>
      </c>
      <c r="D1169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Master'!$F:$F,B1169),"")</f>
        <v>0.21099999999999999</v>
      </c>
      <c r="E1169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Master'!$F:$F,B1169),"")</f>
        <v>0.21099999999999999</v>
      </c>
      <c r="F1169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Master'!$F:$F,B1169),"")</f>
        <v>7.1999999999999995E-2</v>
      </c>
      <c r="G1169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Master'!$F:$F,B1169),"")</f>
        <v>143</v>
      </c>
      <c r="H1169">
        <f>IF(AND(ISNUMBER(C1169),C1169&gt;='Bulk Calculator'!U101/('Bulk Calculator'!J101*'Bulk Calculator'!L101)),1,0)</f>
        <v>1</v>
      </c>
      <c r="I1169">
        <f>IFERROR(IF(AND(ISNUMBER(E1169),ISNUMBER(F1169),E1169&gt;0,F1169&gt;0),SQRT(3)*'Bulk Calculator'!O101*'Bulk Calculator'!AA101*((E1169*'Bulk Calculator'!Q101)+(F1169*SQRT(1-'Bulk Calculator'!Q101^2)))/'Bulk Calculator'!J101/'Bulk Calculator'!K101*100,D1169*'Bulk Calculator'!AA101*'Bulk Calculator'!O101/'Bulk Calculator'!J101/'Bulk Calculator'!K101*100),"")</f>
        <v>0</v>
      </c>
      <c r="J1169">
        <f>IFERROR(IF(AND(ISNUMBER(E1169),ISNUMBER(F1169),E1169&gt;0,F1169&gt;0),SQRT(3)*'Bulk Calculator'!O101*'Bulk Calculator'!U101*((E1169*'Bulk Calculator'!M101)+(F1169*SQRT(1-'Bulk Calculator'!M101^2)))/'Bulk Calculator'!J101/'Bulk Calculator'!K101*100,D1169*'Bulk Calculator'!U101*'Bulk Calculator'!O101/'Bulk Calculator'!J101/'Bulk Calculator'!K101*100),"")</f>
        <v>0</v>
      </c>
      <c r="K1169">
        <f>IFERROR(G1169*B1169*'Bulk Calculator'!J101/SQRT('Bulk Calculator'!S101)/1000,"")</f>
        <v>59.155178344756941</v>
      </c>
      <c r="L1169">
        <f>IF(OR('Bulk Calculator'!R101="",'Bulk Calculator'!S101="",G1169=""),0,IF(K1169&gt;='Bulk Calculator'!R101,1,0))</f>
        <v>1</v>
      </c>
      <c r="M1169">
        <f>IF(AND(H1169=1,I1169&lt;='OS-DORAEN'!$B$6,J1169&lt;='OS-DORAEN'!$B$5,L1169=1),1,0)</f>
        <v>1</v>
      </c>
      <c r="N1169" t="str">
        <f t="shared" si="18"/>
        <v>R/X</v>
      </c>
    </row>
    <row r="1170" spans="1:14" ht="15" customHeight="1" x14ac:dyDescent="0.35">
      <c r="A1170">
        <v>101</v>
      </c>
      <c r="B1170">
        <v>150</v>
      </c>
      <c r="C1170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Master'!$F:$F,B1170),"")</f>
        <v>292</v>
      </c>
      <c r="D1170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Master'!$F:$F,B1170),"")</f>
        <v>0.26500000000000001</v>
      </c>
      <c r="E1170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Master'!$F:$F,B1170),"")</f>
        <v>0.26500000000000001</v>
      </c>
      <c r="F1170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Master'!$F:$F,B1170),"")</f>
        <v>7.1999999999999995E-2</v>
      </c>
      <c r="G1170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Master'!$F:$F,B1170),"")</f>
        <v>143</v>
      </c>
      <c r="H1170">
        <f>IF(AND(ISNUMBER(C1170),C1170&gt;='Bulk Calculator'!U101/('Bulk Calculator'!J101*'Bulk Calculator'!L101)),1,0)</f>
        <v>1</v>
      </c>
      <c r="I1170">
        <f>IFERROR(IF(AND(ISNUMBER(E1170),ISNUMBER(F1170),E1170&gt;0,F1170&gt;0),SQRT(3)*'Bulk Calculator'!O101*'Bulk Calculator'!AA101*((E1170*'Bulk Calculator'!Q101)+(F1170*SQRT(1-'Bulk Calculator'!Q101^2)))/'Bulk Calculator'!J101/'Bulk Calculator'!K101*100,D1170*'Bulk Calculator'!AA101*'Bulk Calculator'!O101/'Bulk Calculator'!J101/'Bulk Calculator'!K101*100),"")</f>
        <v>0</v>
      </c>
      <c r="J1170">
        <f>IFERROR(IF(AND(ISNUMBER(E1170),ISNUMBER(F1170),E1170&gt;0,F1170&gt;0),SQRT(3)*'Bulk Calculator'!O101*'Bulk Calculator'!U101*((E1170*'Bulk Calculator'!M101)+(F1170*SQRT(1-'Bulk Calculator'!M101^2)))/'Bulk Calculator'!J101/'Bulk Calculator'!K101*100,D1170*'Bulk Calculator'!U101*'Bulk Calculator'!O101/'Bulk Calculator'!J101/'Bulk Calculator'!K101*100),"")</f>
        <v>0</v>
      </c>
      <c r="K1170">
        <f>IFERROR(G1170*B1170*'Bulk Calculator'!J101/SQRT('Bulk Calculator'!S101)/1000,"")</f>
        <v>47.963658117370493</v>
      </c>
      <c r="L1170">
        <f>IF(OR('Bulk Calculator'!R101="",'Bulk Calculator'!S101="",G1170=""),0,IF(K1170&gt;='Bulk Calculator'!R101,1,0))</f>
        <v>1</v>
      </c>
      <c r="M1170">
        <f>IF(AND(H1170=1,I1170&lt;='OS-DORAEN'!$B$6,J1170&lt;='OS-DORAEN'!$B$5,L1170=1),1,0)</f>
        <v>1</v>
      </c>
      <c r="N1170" t="str">
        <f t="shared" si="18"/>
        <v>R/X</v>
      </c>
    </row>
    <row r="1171" spans="1:14" ht="15" customHeight="1" x14ac:dyDescent="0.35">
      <c r="A1171">
        <v>101</v>
      </c>
      <c r="B1171">
        <v>120</v>
      </c>
      <c r="C1171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Master'!$F:$F,B1171),"")</f>
        <v>257</v>
      </c>
      <c r="D1171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Master'!$F:$F,B1171),"")</f>
        <v>0.32500000000000001</v>
      </c>
      <c r="E1171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Master'!$F:$F,B1171),"")</f>
        <v>0.32500000000000001</v>
      </c>
      <c r="F1171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Master'!$F:$F,B1171),"")</f>
        <v>7.1999999999999995E-2</v>
      </c>
      <c r="G1171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Master'!$F:$F,B1171),"")</f>
        <v>143</v>
      </c>
      <c r="H1171">
        <f>IF(AND(ISNUMBER(C1171),C1171&gt;='Bulk Calculator'!U101/('Bulk Calculator'!J101*'Bulk Calculator'!L101)),1,0)</f>
        <v>1</v>
      </c>
      <c r="I1171">
        <f>IFERROR(IF(AND(ISNUMBER(E1171),ISNUMBER(F1171),E1171&gt;0,F1171&gt;0),SQRT(3)*'Bulk Calculator'!O101*'Bulk Calculator'!AA101*((E1171*'Bulk Calculator'!Q101)+(F1171*SQRT(1-'Bulk Calculator'!Q101^2)))/'Bulk Calculator'!J101/'Bulk Calculator'!K101*100,D1171*'Bulk Calculator'!AA101*'Bulk Calculator'!O101/'Bulk Calculator'!J101/'Bulk Calculator'!K101*100),"")</f>
        <v>0</v>
      </c>
      <c r="J1171">
        <f>IFERROR(IF(AND(ISNUMBER(E1171),ISNUMBER(F1171),E1171&gt;0,F1171&gt;0),SQRT(3)*'Bulk Calculator'!O101*'Bulk Calculator'!U101*((E1171*'Bulk Calculator'!M101)+(F1171*SQRT(1-'Bulk Calculator'!M101^2)))/'Bulk Calculator'!J101/'Bulk Calculator'!K101*100,D1171*'Bulk Calculator'!U101*'Bulk Calculator'!O101/'Bulk Calculator'!J101/'Bulk Calculator'!K101*100),"")</f>
        <v>0</v>
      </c>
      <c r="K1171">
        <f>IFERROR(G1171*B1171*'Bulk Calculator'!J101/SQRT('Bulk Calculator'!S101)/1000,"")</f>
        <v>38.370926493896391</v>
      </c>
      <c r="L1171">
        <f>IF(OR('Bulk Calculator'!R101="",'Bulk Calculator'!S101="",G1171=""),0,IF(K1171&gt;='Bulk Calculator'!R101,1,0))</f>
        <v>1</v>
      </c>
      <c r="M1171">
        <f>IF(AND(H1171=1,I1171&lt;='OS-DORAEN'!$B$6,J1171&lt;='OS-DORAEN'!$B$5,L1171=1),1,0)</f>
        <v>1</v>
      </c>
      <c r="N1171" t="str">
        <f t="shared" si="18"/>
        <v>R/X</v>
      </c>
    </row>
    <row r="1172" spans="1:14" ht="15" customHeight="1" x14ac:dyDescent="0.35">
      <c r="A1172">
        <v>101</v>
      </c>
      <c r="B1172">
        <v>95</v>
      </c>
      <c r="C1172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Master'!$F:$F,B1172),"")</f>
        <v>221</v>
      </c>
      <c r="D1172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Master'!$F:$F,B1172),"")</f>
        <v>0.41</v>
      </c>
      <c r="E1172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Master'!$F:$F,B1172),"")</f>
        <v>0.41</v>
      </c>
      <c r="F1172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Master'!$F:$F,B1172),"")</f>
        <v>7.3999999999999996E-2</v>
      </c>
      <c r="G1172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Master'!$F:$F,B1172),"")</f>
        <v>143</v>
      </c>
      <c r="H1172">
        <f>IF(AND(ISNUMBER(C1172),C1172&gt;='Bulk Calculator'!U101/('Bulk Calculator'!J101*'Bulk Calculator'!L101)),1,0)</f>
        <v>1</v>
      </c>
      <c r="I1172">
        <f>IFERROR(IF(AND(ISNUMBER(E1172),ISNUMBER(F1172),E1172&gt;0,F1172&gt;0),SQRT(3)*'Bulk Calculator'!O101*'Bulk Calculator'!AA101*((E1172*'Bulk Calculator'!Q101)+(F1172*SQRT(1-'Bulk Calculator'!Q101^2)))/'Bulk Calculator'!J101/'Bulk Calculator'!K101*100,D1172*'Bulk Calculator'!AA101*'Bulk Calculator'!O101/'Bulk Calculator'!J101/'Bulk Calculator'!K101*100),"")</f>
        <v>0</v>
      </c>
      <c r="J1172">
        <f>IFERROR(IF(AND(ISNUMBER(E1172),ISNUMBER(F1172),E1172&gt;0,F1172&gt;0),SQRT(3)*'Bulk Calculator'!O101*'Bulk Calculator'!U101*((E1172*'Bulk Calculator'!M101)+(F1172*SQRT(1-'Bulk Calculator'!M101^2)))/'Bulk Calculator'!J101/'Bulk Calculator'!K101*100,D1172*'Bulk Calculator'!U101*'Bulk Calculator'!O101/'Bulk Calculator'!J101/'Bulk Calculator'!K101*100),"")</f>
        <v>0</v>
      </c>
      <c r="K1172">
        <f>IFERROR(G1172*B1172*'Bulk Calculator'!J101/SQRT('Bulk Calculator'!S101)/1000,"")</f>
        <v>30.376983474334644</v>
      </c>
      <c r="L1172">
        <f>IF(OR('Bulk Calculator'!R101="",'Bulk Calculator'!S101="",G1172=""),0,IF(K1172&gt;='Bulk Calculator'!R101,1,0))</f>
        <v>1</v>
      </c>
      <c r="M1172">
        <f>IF(AND(H1172=1,I1172&lt;='OS-DORAEN'!$B$6,J1172&lt;='OS-DORAEN'!$B$5,L1172=1),1,0)</f>
        <v>1</v>
      </c>
      <c r="N1172" t="str">
        <f t="shared" si="18"/>
        <v>R/X</v>
      </c>
    </row>
    <row r="1173" spans="1:14" ht="15" customHeight="1" x14ac:dyDescent="0.35">
      <c r="A1173">
        <v>101</v>
      </c>
      <c r="B1173">
        <v>70</v>
      </c>
      <c r="C1173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Master'!$F:$F,B1173),"")</f>
        <v>179</v>
      </c>
      <c r="D1173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Master'!$F:$F,B1173),"")</f>
        <v>0.56699999999999995</v>
      </c>
      <c r="E1173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Master'!$F:$F,B1173),"")</f>
        <v>0.56699999999999995</v>
      </c>
      <c r="F1173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Master'!$F:$F,B1173),"")</f>
        <v>7.6999999999999999E-2</v>
      </c>
      <c r="G1173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Master'!$F:$F,B1173),"")</f>
        <v>143</v>
      </c>
      <c r="H1173">
        <f>IF(AND(ISNUMBER(C1173),C1173&gt;='Bulk Calculator'!U101/('Bulk Calculator'!J101*'Bulk Calculator'!L101)),1,0)</f>
        <v>1</v>
      </c>
      <c r="I1173">
        <f>IFERROR(IF(AND(ISNUMBER(E1173),ISNUMBER(F1173),E1173&gt;0,F1173&gt;0),SQRT(3)*'Bulk Calculator'!O101*'Bulk Calculator'!AA101*((E1173*'Bulk Calculator'!Q101)+(F1173*SQRT(1-'Bulk Calculator'!Q101^2)))/'Bulk Calculator'!J101/'Bulk Calculator'!K101*100,D1173*'Bulk Calculator'!AA101*'Bulk Calculator'!O101/'Bulk Calculator'!J101/'Bulk Calculator'!K101*100),"")</f>
        <v>0</v>
      </c>
      <c r="J1173">
        <f>IFERROR(IF(AND(ISNUMBER(E1173),ISNUMBER(F1173),E1173&gt;0,F1173&gt;0),SQRT(3)*'Bulk Calculator'!O101*'Bulk Calculator'!U101*((E1173*'Bulk Calculator'!M101)+(F1173*SQRT(1-'Bulk Calculator'!M101^2)))/'Bulk Calculator'!J101/'Bulk Calculator'!K101*100,D1173*'Bulk Calculator'!U101*'Bulk Calculator'!O101/'Bulk Calculator'!J101/'Bulk Calculator'!K101*100),"")</f>
        <v>0</v>
      </c>
      <c r="K1173">
        <f>IFERROR(G1173*B1173*'Bulk Calculator'!J101/SQRT('Bulk Calculator'!S101)/1000,"")</f>
        <v>22.383040454772893</v>
      </c>
      <c r="L1173">
        <f>IF(OR('Bulk Calculator'!R101="",'Bulk Calculator'!S101="",G1173=""),0,IF(K1173&gt;='Bulk Calculator'!R101,1,0))</f>
        <v>1</v>
      </c>
      <c r="M1173">
        <f>IF(AND(H1173=1,I1173&lt;='OS-DORAEN'!$B$6,J1173&lt;='OS-DORAEN'!$B$5,L1173=1),1,0)</f>
        <v>1</v>
      </c>
      <c r="N1173" t="str">
        <f t="shared" si="18"/>
        <v>R/X</v>
      </c>
    </row>
    <row r="1174" spans="1:14" ht="15" customHeight="1" x14ac:dyDescent="0.35">
      <c r="A1174">
        <v>101</v>
      </c>
      <c r="B1174">
        <v>50</v>
      </c>
      <c r="C1174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Master'!$F:$F,B1174),"")</f>
        <v>142</v>
      </c>
      <c r="D1174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Master'!$F:$F,B1174),"")</f>
        <v>0.82</v>
      </c>
      <c r="E1174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Master'!$F:$F,B1174),"")</f>
        <v>0.82</v>
      </c>
      <c r="F1174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Master'!$F:$F,B1174),"")</f>
        <v>7.8E-2</v>
      </c>
      <c r="G1174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Master'!$F:$F,B1174),"")</f>
        <v>143</v>
      </c>
      <c r="H1174">
        <f>IF(AND(ISNUMBER(C1174),C1174&gt;='Bulk Calculator'!U101/('Bulk Calculator'!J101*'Bulk Calculator'!L101)),1,0)</f>
        <v>1</v>
      </c>
      <c r="I1174">
        <f>IFERROR(IF(AND(ISNUMBER(E1174),ISNUMBER(F1174),E1174&gt;0,F1174&gt;0),SQRT(3)*'Bulk Calculator'!O101*'Bulk Calculator'!AA101*((E1174*'Bulk Calculator'!Q101)+(F1174*SQRT(1-'Bulk Calculator'!Q101^2)))/'Bulk Calculator'!J101/'Bulk Calculator'!K101*100,D1174*'Bulk Calculator'!AA101*'Bulk Calculator'!O101/'Bulk Calculator'!J101/'Bulk Calculator'!K101*100),"")</f>
        <v>0</v>
      </c>
      <c r="J1174">
        <f>IFERROR(IF(AND(ISNUMBER(E1174),ISNUMBER(F1174),E1174&gt;0,F1174&gt;0),SQRT(3)*'Bulk Calculator'!O101*'Bulk Calculator'!U101*((E1174*'Bulk Calculator'!M101)+(F1174*SQRT(1-'Bulk Calculator'!M101^2)))/'Bulk Calculator'!J101/'Bulk Calculator'!K101*100,D1174*'Bulk Calculator'!U101*'Bulk Calculator'!O101/'Bulk Calculator'!J101/'Bulk Calculator'!K101*100),"")</f>
        <v>0</v>
      </c>
      <c r="K1174">
        <f>IFERROR(G1174*B1174*'Bulk Calculator'!J101/SQRT('Bulk Calculator'!S101)/1000,"")</f>
        <v>15.987886039123497</v>
      </c>
      <c r="L1174">
        <f>IF(OR('Bulk Calculator'!R101="",'Bulk Calculator'!S101="",G1174=""),0,IF(K1174&gt;='Bulk Calculator'!R101,1,0))</f>
        <v>1</v>
      </c>
      <c r="M1174">
        <f>IF(AND(H1174=1,I1174&lt;='OS-DORAEN'!$B$6,J1174&lt;='OS-DORAEN'!$B$5,L1174=1),1,0)</f>
        <v>1</v>
      </c>
      <c r="N1174" t="str">
        <f t="shared" si="18"/>
        <v>R/X</v>
      </c>
    </row>
    <row r="1175" spans="1:14" ht="15" customHeight="1" x14ac:dyDescent="0.35">
      <c r="A1175">
        <v>101</v>
      </c>
      <c r="B1175">
        <v>35</v>
      </c>
      <c r="C1175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Master'!$F:$F,B1175),"")</f>
        <v>117</v>
      </c>
      <c r="D1175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Master'!$F:$F,B1175),"")</f>
        <v>1.1100000000000001</v>
      </c>
      <c r="E1175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Master'!$F:$F,B1175),"")</f>
        <v>1.1100000000000001</v>
      </c>
      <c r="F1175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Master'!$F:$F,B1175),"")</f>
        <v>0.08</v>
      </c>
      <c r="G1175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Master'!$F:$F,B1175),"")</f>
        <v>143</v>
      </c>
      <c r="H1175">
        <f>IF(AND(ISNUMBER(C1175),C1175&gt;='Bulk Calculator'!U101/('Bulk Calculator'!J101*'Bulk Calculator'!L101)),1,0)</f>
        <v>1</v>
      </c>
      <c r="I1175">
        <f>IFERROR(IF(AND(ISNUMBER(E1175),ISNUMBER(F1175),E1175&gt;0,F1175&gt;0),SQRT(3)*'Bulk Calculator'!O101*'Bulk Calculator'!AA101*((E1175*'Bulk Calculator'!Q101)+(F1175*SQRT(1-'Bulk Calculator'!Q101^2)))/'Bulk Calculator'!J101/'Bulk Calculator'!K101*100,D1175*'Bulk Calculator'!AA101*'Bulk Calculator'!O101/'Bulk Calculator'!J101/'Bulk Calculator'!K101*100),"")</f>
        <v>0</v>
      </c>
      <c r="J1175">
        <f>IFERROR(IF(AND(ISNUMBER(E1175),ISNUMBER(F1175),E1175&gt;0,F1175&gt;0),SQRT(3)*'Bulk Calculator'!O101*'Bulk Calculator'!U101*((E1175*'Bulk Calculator'!M101)+(F1175*SQRT(1-'Bulk Calculator'!M101^2)))/'Bulk Calculator'!J101/'Bulk Calculator'!K101*100,D1175*'Bulk Calculator'!U101*'Bulk Calculator'!O101/'Bulk Calculator'!J101/'Bulk Calculator'!K101*100),"")</f>
        <v>0</v>
      </c>
      <c r="K1175">
        <f>IFERROR(G1175*B1175*'Bulk Calculator'!J101/SQRT('Bulk Calculator'!S101)/1000,"")</f>
        <v>11.191520227386446</v>
      </c>
      <c r="L1175">
        <f>IF(OR('Bulk Calculator'!R101="",'Bulk Calculator'!S101="",G1175=""),0,IF(K1175&gt;='Bulk Calculator'!R101,1,0))</f>
        <v>1</v>
      </c>
      <c r="M1175">
        <f>IF(AND(H1175=1,I1175&lt;='OS-DORAEN'!$B$6,J1175&lt;='OS-DORAEN'!$B$5,L1175=1),1,0)</f>
        <v>1</v>
      </c>
      <c r="N1175" t="str">
        <f t="shared" si="18"/>
        <v>R/X</v>
      </c>
    </row>
    <row r="1176" spans="1:14" ht="15" customHeight="1" x14ac:dyDescent="0.35">
      <c r="A1176">
        <v>101</v>
      </c>
      <c r="B1176">
        <v>25</v>
      </c>
      <c r="C1176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Master'!$F:$F,B1176),"")</f>
        <v>96</v>
      </c>
      <c r="D1176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Master'!$F:$F,B1176),"")</f>
        <v>1.54</v>
      </c>
      <c r="E1176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Master'!$F:$F,B1176),"")</f>
        <v>1.54</v>
      </c>
      <c r="F1176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Master'!$F:$F,B1176),"")</f>
        <v>0.08</v>
      </c>
      <c r="G1176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Master'!$F:$F,B1176),"")</f>
        <v>143</v>
      </c>
      <c r="H1176">
        <f>IF(AND(ISNUMBER(C1176),C1176&gt;='Bulk Calculator'!U101/('Bulk Calculator'!J101*'Bulk Calculator'!L101)),1,0)</f>
        <v>1</v>
      </c>
      <c r="I1176">
        <f>IFERROR(IF(AND(ISNUMBER(E1176),ISNUMBER(F1176),E1176&gt;0,F1176&gt;0),SQRT(3)*'Bulk Calculator'!O101*'Bulk Calculator'!AA101*((E1176*'Bulk Calculator'!Q101)+(F1176*SQRT(1-'Bulk Calculator'!Q101^2)))/'Bulk Calculator'!J101/'Bulk Calculator'!K101*100,D1176*'Bulk Calculator'!AA101*'Bulk Calculator'!O101/'Bulk Calculator'!J101/'Bulk Calculator'!K101*100),"")</f>
        <v>0</v>
      </c>
      <c r="J1176">
        <f>IFERROR(IF(AND(ISNUMBER(E1176),ISNUMBER(F1176),E1176&gt;0,F1176&gt;0),SQRT(3)*'Bulk Calculator'!O101*'Bulk Calculator'!U101*((E1176*'Bulk Calculator'!M101)+(F1176*SQRT(1-'Bulk Calculator'!M101^2)))/'Bulk Calculator'!J101/'Bulk Calculator'!K101*100,D1176*'Bulk Calculator'!U101*'Bulk Calculator'!O101/'Bulk Calculator'!J101/'Bulk Calculator'!K101*100),"")</f>
        <v>0</v>
      </c>
      <c r="K1176">
        <f>IFERROR(G1176*B1176*'Bulk Calculator'!J101/SQRT('Bulk Calculator'!S101)/1000,"")</f>
        <v>7.9939430195617485</v>
      </c>
      <c r="L1176">
        <f>IF(OR('Bulk Calculator'!R101="",'Bulk Calculator'!S101="",G1176=""),0,IF(K1176&gt;='Bulk Calculator'!R101,1,0))</f>
        <v>1</v>
      </c>
      <c r="M1176">
        <f>IF(AND(H1176=1,I1176&lt;='OS-DORAEN'!$B$6,J1176&lt;='OS-DORAEN'!$B$5,L1176=1),1,0)</f>
        <v>1</v>
      </c>
      <c r="N1176" t="str">
        <f t="shared" si="18"/>
        <v>R/X</v>
      </c>
    </row>
    <row r="1177" spans="1:14" ht="15" customHeight="1" x14ac:dyDescent="0.35">
      <c r="A1177">
        <v>101</v>
      </c>
      <c r="B1177">
        <v>16</v>
      </c>
      <c r="C1177">
        <f>IFERROR(SUMIFS('Cable Data Master'!$G:$G,'Cable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Master'!$F:$F,B1177),"")</f>
        <v>0</v>
      </c>
      <c r="D1177">
        <f>IFERROR(SUMIFS('Cable Data Master'!$K:$K,'Cable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Master'!$F:$F,B1177),"")</f>
        <v>0</v>
      </c>
      <c r="E1177">
        <f>IFERROR(SUMIFS('Cable Data Master'!$H:$H,'Cable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Master'!$F:$F,B1177),"")</f>
        <v>0</v>
      </c>
      <c r="F1177">
        <f>IFERROR(SUMIFS('Cable Data Master'!$I:$I,'Cable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Master'!$F:$F,B1177),"")</f>
        <v>0</v>
      </c>
      <c r="G1177">
        <f>IFERROR(SUMIFS('Cable Data Master'!$J:$J,'Cable Data Master'!$A:$A,'Bulk Calculator'!$BF101,'Cable Data Master'!$B:$B,'Bulk Calculator'!$BG101,'Cable Data Master'!$C:$C,'Bulk Calculator'!$BH101,'Cable Data Master'!$D:$D,'Bulk Calculator'!$BI101,'Cable Data Master'!$E:$E,'Bulk Calculator'!$BJ101,'Cable Data Master'!$F:$F,B1177),"")</f>
        <v>0</v>
      </c>
      <c r="H1177">
        <f>IF(AND(ISNUMBER(C1177),C1177&gt;='Bulk Calculator'!U101/('Bulk Calculator'!J101*'Bulk Calculator'!L101)),1,0)</f>
        <v>1</v>
      </c>
      <c r="I1177">
        <f>IFERROR(IF(AND(ISNUMBER(E1177),ISNUMBER(F1177),E1177&gt;0,F1177&gt;0),SQRT(3)*'Bulk Calculator'!O101*'Bulk Calculator'!AA101*((E1177*'Bulk Calculator'!Q101)+(F1177*SQRT(1-'Bulk Calculator'!Q101^2)))/'Bulk Calculator'!J101/'Bulk Calculator'!K101*100,D1177*'Bulk Calculator'!AA101*'Bulk Calculator'!O101/'Bulk Calculator'!J101/'Bulk Calculator'!K101*100),"")</f>
        <v>0</v>
      </c>
      <c r="J1177">
        <f>IFERROR(IF(AND(ISNUMBER(E1177),ISNUMBER(F1177),E1177&gt;0,F1177&gt;0),SQRT(3)*'Bulk Calculator'!O101*'Bulk Calculator'!U101*((E1177*'Bulk Calculator'!M101)+(F1177*SQRT(1-'Bulk Calculator'!M101^2)))/'Bulk Calculator'!J101/'Bulk Calculator'!K101*100,D1177*'Bulk Calculator'!U101*'Bulk Calculator'!O101/'Bulk Calculator'!J101/'Bulk Calculator'!K101*100),"")</f>
        <v>0</v>
      </c>
      <c r="K1177">
        <f>IFERROR(G1177*B1177*'Bulk Calculator'!J101/SQRT('Bulk Calculator'!S101)/1000,"")</f>
        <v>0</v>
      </c>
      <c r="L1177">
        <f>IF(OR('Bulk Calculator'!R101="",'Bulk Calculator'!S101="",G1177=""),0,IF(K1177&gt;='Bulk Calculator'!R101,1,0))</f>
        <v>1</v>
      </c>
      <c r="M1177">
        <f>IF(AND(H1177=1,I1177&lt;='OS-DORAEN'!$B$6,J1177&lt;='OS-DORAEN'!$B$5,L1177=1),1,0)</f>
        <v>1</v>
      </c>
      <c r="N1177" t="str">
        <f t="shared" si="18"/>
        <v>Manufacturer VD Ref</v>
      </c>
    </row>
    <row r="1178" spans="1:14" ht="15" customHeight="1" x14ac:dyDescent="0.35">
      <c r="A1178">
        <v>102</v>
      </c>
      <c r="B1178">
        <v>400</v>
      </c>
      <c r="C1178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Master'!$F:$F,B1178),"")</f>
        <v>530</v>
      </c>
      <c r="D1178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Master'!$F:$F,B1178),"")</f>
        <v>0.1023</v>
      </c>
      <c r="E1178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Master'!$F:$F,B1178),"")</f>
        <v>0.1023</v>
      </c>
      <c r="F1178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Master'!$F:$F,B1178),"")</f>
        <v>7.0000000000000007E-2</v>
      </c>
      <c r="G1178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Master'!$F:$F,B1178),"")</f>
        <v>143</v>
      </c>
      <c r="H1178">
        <f>IF(AND(ISNUMBER(C1178),C1178&gt;='Bulk Calculator'!U102/('Bulk Calculator'!J102*'Bulk Calculator'!L102)),1,0)</f>
        <v>1</v>
      </c>
      <c r="I1178">
        <f>IFERROR(IF(AND(ISNUMBER(E1178),ISNUMBER(F1178),E1178&gt;0,F1178&gt;0),SQRT(3)*'Bulk Calculator'!O102*'Bulk Calculator'!AA102*((E1178*'Bulk Calculator'!Q102)+(F1178*SQRT(1-'Bulk Calculator'!Q102^2)))/'Bulk Calculator'!J102/'Bulk Calculator'!K102*100,D1178*'Bulk Calculator'!AA102*'Bulk Calculator'!O102/'Bulk Calculator'!J102/'Bulk Calculator'!K102*100),"")</f>
        <v>0</v>
      </c>
      <c r="J1178">
        <f>IFERROR(IF(AND(ISNUMBER(E1178),ISNUMBER(F1178),E1178&gt;0,F1178&gt;0),SQRT(3)*'Bulk Calculator'!O102*'Bulk Calculator'!U102*((E1178*'Bulk Calculator'!M102)+(F1178*SQRT(1-'Bulk Calculator'!M102^2)))/'Bulk Calculator'!J102/'Bulk Calculator'!K102*100,D1178*'Bulk Calculator'!U102*'Bulk Calculator'!O102/'Bulk Calculator'!J102/'Bulk Calculator'!K102*100),"")</f>
        <v>0</v>
      </c>
      <c r="K1178">
        <f>IFERROR(G1178*B1178*'Bulk Calculator'!J102/SQRT('Bulk Calculator'!S102)/1000,"")</f>
        <v>127.90308831298798</v>
      </c>
      <c r="L1178">
        <f>IF(OR('Bulk Calculator'!R102="",'Bulk Calculator'!S102="",G1178=""),0,IF(K1178&gt;='Bulk Calculator'!R102,1,0))</f>
        <v>1</v>
      </c>
      <c r="M1178">
        <f>IF(AND(H1178=1,I1178&lt;='OS-DORAEN'!$B$6,J1178&lt;='OS-DORAEN'!$B$5,L1178=1),1,0)</f>
        <v>1</v>
      </c>
      <c r="N1178" t="str">
        <f t="shared" si="18"/>
        <v>R/X</v>
      </c>
    </row>
    <row r="1179" spans="1:14" ht="15" customHeight="1" x14ac:dyDescent="0.35">
      <c r="A1179">
        <v>102</v>
      </c>
      <c r="B1179">
        <v>300</v>
      </c>
      <c r="C1179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Master'!$F:$F,B1179),"")</f>
        <v>455</v>
      </c>
      <c r="D1179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Master'!$F:$F,B1179),"")</f>
        <v>0.13</v>
      </c>
      <c r="E1179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Master'!$F:$F,B1179),"")</f>
        <v>0.13</v>
      </c>
      <c r="F1179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Master'!$F:$F,B1179),"")</f>
        <v>7.0999999999999994E-2</v>
      </c>
      <c r="G1179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Master'!$F:$F,B1179),"")</f>
        <v>143</v>
      </c>
      <c r="H1179">
        <f>IF(AND(ISNUMBER(C1179),C1179&gt;='Bulk Calculator'!U102/('Bulk Calculator'!J102*'Bulk Calculator'!L102)),1,0)</f>
        <v>1</v>
      </c>
      <c r="I1179">
        <f>IFERROR(IF(AND(ISNUMBER(E1179),ISNUMBER(F1179),E1179&gt;0,F1179&gt;0),SQRT(3)*'Bulk Calculator'!O102*'Bulk Calculator'!AA102*((E1179*'Bulk Calculator'!Q102)+(F1179*SQRT(1-'Bulk Calculator'!Q102^2)))/'Bulk Calculator'!J102/'Bulk Calculator'!K102*100,D1179*'Bulk Calculator'!AA102*'Bulk Calculator'!O102/'Bulk Calculator'!J102/'Bulk Calculator'!K102*100),"")</f>
        <v>0</v>
      </c>
      <c r="J1179">
        <f>IFERROR(IF(AND(ISNUMBER(E1179),ISNUMBER(F1179),E1179&gt;0,F1179&gt;0),SQRT(3)*'Bulk Calculator'!O102*'Bulk Calculator'!U102*((E1179*'Bulk Calculator'!M102)+(F1179*SQRT(1-'Bulk Calculator'!M102^2)))/'Bulk Calculator'!J102/'Bulk Calculator'!K102*100,D1179*'Bulk Calculator'!U102*'Bulk Calculator'!O102/'Bulk Calculator'!J102/'Bulk Calculator'!K102*100),"")</f>
        <v>0</v>
      </c>
      <c r="K1179">
        <f>IFERROR(G1179*B1179*'Bulk Calculator'!J102/SQRT('Bulk Calculator'!S102)/1000,"")</f>
        <v>95.927316234740985</v>
      </c>
      <c r="L1179">
        <f>IF(OR('Bulk Calculator'!R102="",'Bulk Calculator'!S102="",G1179=""),0,IF(K1179&gt;='Bulk Calculator'!R102,1,0))</f>
        <v>1</v>
      </c>
      <c r="M1179">
        <f>IF(AND(H1179=1,I1179&lt;='OS-DORAEN'!$B$6,J1179&lt;='OS-DORAEN'!$B$5,L1179=1),1,0)</f>
        <v>1</v>
      </c>
      <c r="N1179" t="str">
        <f t="shared" si="18"/>
        <v>R/X</v>
      </c>
    </row>
    <row r="1180" spans="1:14" ht="15" customHeight="1" x14ac:dyDescent="0.35">
      <c r="A1180">
        <v>102</v>
      </c>
      <c r="B1180">
        <v>240</v>
      </c>
      <c r="C1180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Master'!$F:$F,B1180),"")</f>
        <v>399</v>
      </c>
      <c r="D1180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Master'!$F:$F,B1180),"")</f>
        <v>0.16200000000000001</v>
      </c>
      <c r="E1180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Master'!$F:$F,B1180),"")</f>
        <v>0.16200000000000001</v>
      </c>
      <c r="F1180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Master'!$F:$F,B1180),"")</f>
        <v>7.1999999999999995E-2</v>
      </c>
      <c r="G1180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Master'!$F:$F,B1180),"")</f>
        <v>143</v>
      </c>
      <c r="H1180">
        <f>IF(AND(ISNUMBER(C1180),C1180&gt;='Bulk Calculator'!U102/('Bulk Calculator'!J102*'Bulk Calculator'!L102)),1,0)</f>
        <v>1</v>
      </c>
      <c r="I1180">
        <f>IFERROR(IF(AND(ISNUMBER(E1180),ISNUMBER(F1180),E1180&gt;0,F1180&gt;0),SQRT(3)*'Bulk Calculator'!O102*'Bulk Calculator'!AA102*((E1180*'Bulk Calculator'!Q102)+(F1180*SQRT(1-'Bulk Calculator'!Q102^2)))/'Bulk Calculator'!J102/'Bulk Calculator'!K102*100,D1180*'Bulk Calculator'!AA102*'Bulk Calculator'!O102/'Bulk Calculator'!J102/'Bulk Calculator'!K102*100),"")</f>
        <v>0</v>
      </c>
      <c r="J1180">
        <f>IFERROR(IF(AND(ISNUMBER(E1180),ISNUMBER(F1180),E1180&gt;0,F1180&gt;0),SQRT(3)*'Bulk Calculator'!O102*'Bulk Calculator'!U102*((E1180*'Bulk Calculator'!M102)+(F1180*SQRT(1-'Bulk Calculator'!M102^2)))/'Bulk Calculator'!J102/'Bulk Calculator'!K102*100,D1180*'Bulk Calculator'!U102*'Bulk Calculator'!O102/'Bulk Calculator'!J102/'Bulk Calculator'!K102*100),"")</f>
        <v>0</v>
      </c>
      <c r="K1180">
        <f>IFERROR(G1180*B1180*'Bulk Calculator'!J102/SQRT('Bulk Calculator'!S102)/1000,"")</f>
        <v>76.741852987792782</v>
      </c>
      <c r="L1180">
        <f>IF(OR('Bulk Calculator'!R102="",'Bulk Calculator'!S102="",G1180=""),0,IF(K1180&gt;='Bulk Calculator'!R102,1,0))</f>
        <v>1</v>
      </c>
      <c r="M1180">
        <f>IF(AND(H1180=1,I1180&lt;='OS-DORAEN'!$B$6,J1180&lt;='OS-DORAEN'!$B$5,L1180=1),1,0)</f>
        <v>1</v>
      </c>
      <c r="N1180" t="str">
        <f t="shared" si="18"/>
        <v>R/X</v>
      </c>
    </row>
    <row r="1181" spans="1:14" ht="15" customHeight="1" x14ac:dyDescent="0.35">
      <c r="A1181">
        <v>102</v>
      </c>
      <c r="B1181">
        <v>185</v>
      </c>
      <c r="C1181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Master'!$F:$F,B1181),"")</f>
        <v>337</v>
      </c>
      <c r="D1181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Master'!$F:$F,B1181),"")</f>
        <v>0.21099999999999999</v>
      </c>
      <c r="E1181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Master'!$F:$F,B1181),"")</f>
        <v>0.21099999999999999</v>
      </c>
      <c r="F1181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Master'!$F:$F,B1181),"")</f>
        <v>7.1999999999999995E-2</v>
      </c>
      <c r="G1181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Master'!$F:$F,B1181),"")</f>
        <v>143</v>
      </c>
      <c r="H1181">
        <f>IF(AND(ISNUMBER(C1181),C1181&gt;='Bulk Calculator'!U102/('Bulk Calculator'!J102*'Bulk Calculator'!L102)),1,0)</f>
        <v>1</v>
      </c>
      <c r="I1181">
        <f>IFERROR(IF(AND(ISNUMBER(E1181),ISNUMBER(F1181),E1181&gt;0,F1181&gt;0),SQRT(3)*'Bulk Calculator'!O102*'Bulk Calculator'!AA102*((E1181*'Bulk Calculator'!Q102)+(F1181*SQRT(1-'Bulk Calculator'!Q102^2)))/'Bulk Calculator'!J102/'Bulk Calculator'!K102*100,D1181*'Bulk Calculator'!AA102*'Bulk Calculator'!O102/'Bulk Calculator'!J102/'Bulk Calculator'!K102*100),"")</f>
        <v>0</v>
      </c>
      <c r="J1181">
        <f>IFERROR(IF(AND(ISNUMBER(E1181),ISNUMBER(F1181),E1181&gt;0,F1181&gt;0),SQRT(3)*'Bulk Calculator'!O102*'Bulk Calculator'!U102*((E1181*'Bulk Calculator'!M102)+(F1181*SQRT(1-'Bulk Calculator'!M102^2)))/'Bulk Calculator'!J102/'Bulk Calculator'!K102*100,D1181*'Bulk Calculator'!U102*'Bulk Calculator'!O102/'Bulk Calculator'!J102/'Bulk Calculator'!K102*100),"")</f>
        <v>0</v>
      </c>
      <c r="K1181">
        <f>IFERROR(G1181*B1181*'Bulk Calculator'!J102/SQRT('Bulk Calculator'!S102)/1000,"")</f>
        <v>59.155178344756941</v>
      </c>
      <c r="L1181">
        <f>IF(OR('Bulk Calculator'!R102="",'Bulk Calculator'!S102="",G1181=""),0,IF(K1181&gt;='Bulk Calculator'!R102,1,0))</f>
        <v>1</v>
      </c>
      <c r="M1181">
        <f>IF(AND(H1181=1,I1181&lt;='OS-DORAEN'!$B$6,J1181&lt;='OS-DORAEN'!$B$5,L1181=1),1,0)</f>
        <v>1</v>
      </c>
      <c r="N1181" t="str">
        <f t="shared" si="18"/>
        <v>R/X</v>
      </c>
    </row>
    <row r="1182" spans="1:14" ht="15" customHeight="1" x14ac:dyDescent="0.35">
      <c r="A1182">
        <v>102</v>
      </c>
      <c r="B1182">
        <v>150</v>
      </c>
      <c r="C1182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Master'!$F:$F,B1182),"")</f>
        <v>292</v>
      </c>
      <c r="D1182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Master'!$F:$F,B1182),"")</f>
        <v>0.26500000000000001</v>
      </c>
      <c r="E1182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Master'!$F:$F,B1182),"")</f>
        <v>0.26500000000000001</v>
      </c>
      <c r="F1182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Master'!$F:$F,B1182),"")</f>
        <v>7.1999999999999995E-2</v>
      </c>
      <c r="G1182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Master'!$F:$F,B1182),"")</f>
        <v>143</v>
      </c>
      <c r="H1182">
        <f>IF(AND(ISNUMBER(C1182),C1182&gt;='Bulk Calculator'!U102/('Bulk Calculator'!J102*'Bulk Calculator'!L102)),1,0)</f>
        <v>1</v>
      </c>
      <c r="I1182">
        <f>IFERROR(IF(AND(ISNUMBER(E1182),ISNUMBER(F1182),E1182&gt;0,F1182&gt;0),SQRT(3)*'Bulk Calculator'!O102*'Bulk Calculator'!AA102*((E1182*'Bulk Calculator'!Q102)+(F1182*SQRT(1-'Bulk Calculator'!Q102^2)))/'Bulk Calculator'!J102/'Bulk Calculator'!K102*100,D1182*'Bulk Calculator'!AA102*'Bulk Calculator'!O102/'Bulk Calculator'!J102/'Bulk Calculator'!K102*100),"")</f>
        <v>0</v>
      </c>
      <c r="J1182">
        <f>IFERROR(IF(AND(ISNUMBER(E1182),ISNUMBER(F1182),E1182&gt;0,F1182&gt;0),SQRT(3)*'Bulk Calculator'!O102*'Bulk Calculator'!U102*((E1182*'Bulk Calculator'!M102)+(F1182*SQRT(1-'Bulk Calculator'!M102^2)))/'Bulk Calculator'!J102/'Bulk Calculator'!K102*100,D1182*'Bulk Calculator'!U102*'Bulk Calculator'!O102/'Bulk Calculator'!J102/'Bulk Calculator'!K102*100),"")</f>
        <v>0</v>
      </c>
      <c r="K1182">
        <f>IFERROR(G1182*B1182*'Bulk Calculator'!J102/SQRT('Bulk Calculator'!S102)/1000,"")</f>
        <v>47.963658117370493</v>
      </c>
      <c r="L1182">
        <f>IF(OR('Bulk Calculator'!R102="",'Bulk Calculator'!S102="",G1182=""),0,IF(K1182&gt;='Bulk Calculator'!R102,1,0))</f>
        <v>1</v>
      </c>
      <c r="M1182">
        <f>IF(AND(H1182=1,I1182&lt;='OS-DORAEN'!$B$6,J1182&lt;='OS-DORAEN'!$B$5,L1182=1),1,0)</f>
        <v>1</v>
      </c>
      <c r="N1182" t="str">
        <f t="shared" si="18"/>
        <v>R/X</v>
      </c>
    </row>
    <row r="1183" spans="1:14" ht="15" customHeight="1" x14ac:dyDescent="0.35">
      <c r="A1183">
        <v>102</v>
      </c>
      <c r="B1183">
        <v>120</v>
      </c>
      <c r="C1183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Master'!$F:$F,B1183),"")</f>
        <v>257</v>
      </c>
      <c r="D1183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Master'!$F:$F,B1183),"")</f>
        <v>0.32500000000000001</v>
      </c>
      <c r="E1183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Master'!$F:$F,B1183),"")</f>
        <v>0.32500000000000001</v>
      </c>
      <c r="F1183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Master'!$F:$F,B1183),"")</f>
        <v>7.1999999999999995E-2</v>
      </c>
      <c r="G1183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Master'!$F:$F,B1183),"")</f>
        <v>143</v>
      </c>
      <c r="H1183">
        <f>IF(AND(ISNUMBER(C1183),C1183&gt;='Bulk Calculator'!U102/('Bulk Calculator'!J102*'Bulk Calculator'!L102)),1,0)</f>
        <v>1</v>
      </c>
      <c r="I1183">
        <f>IFERROR(IF(AND(ISNUMBER(E1183),ISNUMBER(F1183),E1183&gt;0,F1183&gt;0),SQRT(3)*'Bulk Calculator'!O102*'Bulk Calculator'!AA102*((E1183*'Bulk Calculator'!Q102)+(F1183*SQRT(1-'Bulk Calculator'!Q102^2)))/'Bulk Calculator'!J102/'Bulk Calculator'!K102*100,D1183*'Bulk Calculator'!AA102*'Bulk Calculator'!O102/'Bulk Calculator'!J102/'Bulk Calculator'!K102*100),"")</f>
        <v>0</v>
      </c>
      <c r="J1183">
        <f>IFERROR(IF(AND(ISNUMBER(E1183),ISNUMBER(F1183),E1183&gt;0,F1183&gt;0),SQRT(3)*'Bulk Calculator'!O102*'Bulk Calculator'!U102*((E1183*'Bulk Calculator'!M102)+(F1183*SQRT(1-'Bulk Calculator'!M102^2)))/'Bulk Calculator'!J102/'Bulk Calculator'!K102*100,D1183*'Bulk Calculator'!U102*'Bulk Calculator'!O102/'Bulk Calculator'!J102/'Bulk Calculator'!K102*100),"")</f>
        <v>0</v>
      </c>
      <c r="K1183">
        <f>IFERROR(G1183*B1183*'Bulk Calculator'!J102/SQRT('Bulk Calculator'!S102)/1000,"")</f>
        <v>38.370926493896391</v>
      </c>
      <c r="L1183">
        <f>IF(OR('Bulk Calculator'!R102="",'Bulk Calculator'!S102="",G1183=""),0,IF(K1183&gt;='Bulk Calculator'!R102,1,0))</f>
        <v>1</v>
      </c>
      <c r="M1183">
        <f>IF(AND(H1183=1,I1183&lt;='OS-DORAEN'!$B$6,J1183&lt;='OS-DORAEN'!$B$5,L1183=1),1,0)</f>
        <v>1</v>
      </c>
      <c r="N1183" t="str">
        <f t="shared" si="18"/>
        <v>R/X</v>
      </c>
    </row>
    <row r="1184" spans="1:14" ht="15" customHeight="1" x14ac:dyDescent="0.35">
      <c r="A1184">
        <v>102</v>
      </c>
      <c r="B1184">
        <v>95</v>
      </c>
      <c r="C1184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Master'!$F:$F,B1184),"")</f>
        <v>221</v>
      </c>
      <c r="D1184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Master'!$F:$F,B1184),"")</f>
        <v>0.41</v>
      </c>
      <c r="E1184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Master'!$F:$F,B1184),"")</f>
        <v>0.41</v>
      </c>
      <c r="F1184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Master'!$F:$F,B1184),"")</f>
        <v>7.3999999999999996E-2</v>
      </c>
      <c r="G1184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Master'!$F:$F,B1184),"")</f>
        <v>143</v>
      </c>
      <c r="H1184">
        <f>IF(AND(ISNUMBER(C1184),C1184&gt;='Bulk Calculator'!U102/('Bulk Calculator'!J102*'Bulk Calculator'!L102)),1,0)</f>
        <v>1</v>
      </c>
      <c r="I1184">
        <f>IFERROR(IF(AND(ISNUMBER(E1184),ISNUMBER(F1184),E1184&gt;0,F1184&gt;0),SQRT(3)*'Bulk Calculator'!O102*'Bulk Calculator'!AA102*((E1184*'Bulk Calculator'!Q102)+(F1184*SQRT(1-'Bulk Calculator'!Q102^2)))/'Bulk Calculator'!J102/'Bulk Calculator'!K102*100,D1184*'Bulk Calculator'!AA102*'Bulk Calculator'!O102/'Bulk Calculator'!J102/'Bulk Calculator'!K102*100),"")</f>
        <v>0</v>
      </c>
      <c r="J1184">
        <f>IFERROR(IF(AND(ISNUMBER(E1184),ISNUMBER(F1184),E1184&gt;0,F1184&gt;0),SQRT(3)*'Bulk Calculator'!O102*'Bulk Calculator'!U102*((E1184*'Bulk Calculator'!M102)+(F1184*SQRT(1-'Bulk Calculator'!M102^2)))/'Bulk Calculator'!J102/'Bulk Calculator'!K102*100,D1184*'Bulk Calculator'!U102*'Bulk Calculator'!O102/'Bulk Calculator'!J102/'Bulk Calculator'!K102*100),"")</f>
        <v>0</v>
      </c>
      <c r="K1184">
        <f>IFERROR(G1184*B1184*'Bulk Calculator'!J102/SQRT('Bulk Calculator'!S102)/1000,"")</f>
        <v>30.376983474334644</v>
      </c>
      <c r="L1184">
        <f>IF(OR('Bulk Calculator'!R102="",'Bulk Calculator'!S102="",G1184=""),0,IF(K1184&gt;='Bulk Calculator'!R102,1,0))</f>
        <v>1</v>
      </c>
      <c r="M1184">
        <f>IF(AND(H1184=1,I1184&lt;='OS-DORAEN'!$B$6,J1184&lt;='OS-DORAEN'!$B$5,L1184=1),1,0)</f>
        <v>1</v>
      </c>
      <c r="N1184" t="str">
        <f t="shared" si="18"/>
        <v>R/X</v>
      </c>
    </row>
    <row r="1185" spans="1:14" ht="15" customHeight="1" x14ac:dyDescent="0.35">
      <c r="A1185">
        <v>102</v>
      </c>
      <c r="B1185">
        <v>70</v>
      </c>
      <c r="C1185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Master'!$F:$F,B1185),"")</f>
        <v>179</v>
      </c>
      <c r="D1185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Master'!$F:$F,B1185),"")</f>
        <v>0.56699999999999995</v>
      </c>
      <c r="E1185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Master'!$F:$F,B1185),"")</f>
        <v>0.56699999999999995</v>
      </c>
      <c r="F1185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Master'!$F:$F,B1185),"")</f>
        <v>7.6999999999999999E-2</v>
      </c>
      <c r="G1185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Master'!$F:$F,B1185),"")</f>
        <v>143</v>
      </c>
      <c r="H1185">
        <f>IF(AND(ISNUMBER(C1185),C1185&gt;='Bulk Calculator'!U102/('Bulk Calculator'!J102*'Bulk Calculator'!L102)),1,0)</f>
        <v>1</v>
      </c>
      <c r="I1185">
        <f>IFERROR(IF(AND(ISNUMBER(E1185),ISNUMBER(F1185),E1185&gt;0,F1185&gt;0),SQRT(3)*'Bulk Calculator'!O102*'Bulk Calculator'!AA102*((E1185*'Bulk Calculator'!Q102)+(F1185*SQRT(1-'Bulk Calculator'!Q102^2)))/'Bulk Calculator'!J102/'Bulk Calculator'!K102*100,D1185*'Bulk Calculator'!AA102*'Bulk Calculator'!O102/'Bulk Calculator'!J102/'Bulk Calculator'!K102*100),"")</f>
        <v>0</v>
      </c>
      <c r="J1185">
        <f>IFERROR(IF(AND(ISNUMBER(E1185),ISNUMBER(F1185),E1185&gt;0,F1185&gt;0),SQRT(3)*'Bulk Calculator'!O102*'Bulk Calculator'!U102*((E1185*'Bulk Calculator'!M102)+(F1185*SQRT(1-'Bulk Calculator'!M102^2)))/'Bulk Calculator'!J102/'Bulk Calculator'!K102*100,D1185*'Bulk Calculator'!U102*'Bulk Calculator'!O102/'Bulk Calculator'!J102/'Bulk Calculator'!K102*100),"")</f>
        <v>0</v>
      </c>
      <c r="K1185">
        <f>IFERROR(G1185*B1185*'Bulk Calculator'!J102/SQRT('Bulk Calculator'!S102)/1000,"")</f>
        <v>22.383040454772893</v>
      </c>
      <c r="L1185">
        <f>IF(OR('Bulk Calculator'!R102="",'Bulk Calculator'!S102="",G1185=""),0,IF(K1185&gt;='Bulk Calculator'!R102,1,0))</f>
        <v>1</v>
      </c>
      <c r="M1185">
        <f>IF(AND(H1185=1,I1185&lt;='OS-DORAEN'!$B$6,J1185&lt;='OS-DORAEN'!$B$5,L1185=1),1,0)</f>
        <v>1</v>
      </c>
      <c r="N1185" t="str">
        <f t="shared" si="18"/>
        <v>R/X</v>
      </c>
    </row>
    <row r="1186" spans="1:14" ht="15" customHeight="1" x14ac:dyDescent="0.35">
      <c r="A1186">
        <v>102</v>
      </c>
      <c r="B1186">
        <v>50</v>
      </c>
      <c r="C1186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Master'!$F:$F,B1186),"")</f>
        <v>142</v>
      </c>
      <c r="D1186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Master'!$F:$F,B1186),"")</f>
        <v>0.82</v>
      </c>
      <c r="E1186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Master'!$F:$F,B1186),"")</f>
        <v>0.82</v>
      </c>
      <c r="F1186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Master'!$F:$F,B1186),"")</f>
        <v>7.8E-2</v>
      </c>
      <c r="G1186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Master'!$F:$F,B1186),"")</f>
        <v>143</v>
      </c>
      <c r="H1186">
        <f>IF(AND(ISNUMBER(C1186),C1186&gt;='Bulk Calculator'!U102/('Bulk Calculator'!J102*'Bulk Calculator'!L102)),1,0)</f>
        <v>1</v>
      </c>
      <c r="I1186">
        <f>IFERROR(IF(AND(ISNUMBER(E1186),ISNUMBER(F1186),E1186&gt;0,F1186&gt;0),SQRT(3)*'Bulk Calculator'!O102*'Bulk Calculator'!AA102*((E1186*'Bulk Calculator'!Q102)+(F1186*SQRT(1-'Bulk Calculator'!Q102^2)))/'Bulk Calculator'!J102/'Bulk Calculator'!K102*100,D1186*'Bulk Calculator'!AA102*'Bulk Calculator'!O102/'Bulk Calculator'!J102/'Bulk Calculator'!K102*100),"")</f>
        <v>0</v>
      </c>
      <c r="J1186">
        <f>IFERROR(IF(AND(ISNUMBER(E1186),ISNUMBER(F1186),E1186&gt;0,F1186&gt;0),SQRT(3)*'Bulk Calculator'!O102*'Bulk Calculator'!U102*((E1186*'Bulk Calculator'!M102)+(F1186*SQRT(1-'Bulk Calculator'!M102^2)))/'Bulk Calculator'!J102/'Bulk Calculator'!K102*100,D1186*'Bulk Calculator'!U102*'Bulk Calculator'!O102/'Bulk Calculator'!J102/'Bulk Calculator'!K102*100),"")</f>
        <v>0</v>
      </c>
      <c r="K1186">
        <f>IFERROR(G1186*B1186*'Bulk Calculator'!J102/SQRT('Bulk Calculator'!S102)/1000,"")</f>
        <v>15.987886039123497</v>
      </c>
      <c r="L1186">
        <f>IF(OR('Bulk Calculator'!R102="",'Bulk Calculator'!S102="",G1186=""),0,IF(K1186&gt;='Bulk Calculator'!R102,1,0))</f>
        <v>1</v>
      </c>
      <c r="M1186">
        <f>IF(AND(H1186=1,I1186&lt;='OS-DORAEN'!$B$6,J1186&lt;='OS-DORAEN'!$B$5,L1186=1),1,0)</f>
        <v>1</v>
      </c>
      <c r="N1186" t="str">
        <f t="shared" si="18"/>
        <v>R/X</v>
      </c>
    </row>
    <row r="1187" spans="1:14" ht="15" customHeight="1" x14ac:dyDescent="0.35">
      <c r="A1187">
        <v>102</v>
      </c>
      <c r="B1187">
        <v>35</v>
      </c>
      <c r="C1187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Master'!$F:$F,B1187),"")</f>
        <v>117</v>
      </c>
      <c r="D1187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Master'!$F:$F,B1187),"")</f>
        <v>1.1100000000000001</v>
      </c>
      <c r="E1187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Master'!$F:$F,B1187),"")</f>
        <v>1.1100000000000001</v>
      </c>
      <c r="F1187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Master'!$F:$F,B1187),"")</f>
        <v>0.08</v>
      </c>
      <c r="G1187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Master'!$F:$F,B1187),"")</f>
        <v>143</v>
      </c>
      <c r="H1187">
        <f>IF(AND(ISNUMBER(C1187),C1187&gt;='Bulk Calculator'!U102/('Bulk Calculator'!J102*'Bulk Calculator'!L102)),1,0)</f>
        <v>1</v>
      </c>
      <c r="I1187">
        <f>IFERROR(IF(AND(ISNUMBER(E1187),ISNUMBER(F1187),E1187&gt;0,F1187&gt;0),SQRT(3)*'Bulk Calculator'!O102*'Bulk Calculator'!AA102*((E1187*'Bulk Calculator'!Q102)+(F1187*SQRT(1-'Bulk Calculator'!Q102^2)))/'Bulk Calculator'!J102/'Bulk Calculator'!K102*100,D1187*'Bulk Calculator'!AA102*'Bulk Calculator'!O102/'Bulk Calculator'!J102/'Bulk Calculator'!K102*100),"")</f>
        <v>0</v>
      </c>
      <c r="J1187">
        <f>IFERROR(IF(AND(ISNUMBER(E1187),ISNUMBER(F1187),E1187&gt;0,F1187&gt;0),SQRT(3)*'Bulk Calculator'!O102*'Bulk Calculator'!U102*((E1187*'Bulk Calculator'!M102)+(F1187*SQRT(1-'Bulk Calculator'!M102^2)))/'Bulk Calculator'!J102/'Bulk Calculator'!K102*100,D1187*'Bulk Calculator'!U102*'Bulk Calculator'!O102/'Bulk Calculator'!J102/'Bulk Calculator'!K102*100),"")</f>
        <v>0</v>
      </c>
      <c r="K1187">
        <f>IFERROR(G1187*B1187*'Bulk Calculator'!J102/SQRT('Bulk Calculator'!S102)/1000,"")</f>
        <v>11.191520227386446</v>
      </c>
      <c r="L1187">
        <f>IF(OR('Bulk Calculator'!R102="",'Bulk Calculator'!S102="",G1187=""),0,IF(K1187&gt;='Bulk Calculator'!R102,1,0))</f>
        <v>1</v>
      </c>
      <c r="M1187">
        <f>IF(AND(H1187=1,I1187&lt;='OS-DORAEN'!$B$6,J1187&lt;='OS-DORAEN'!$B$5,L1187=1),1,0)</f>
        <v>1</v>
      </c>
      <c r="N1187" t="str">
        <f t="shared" si="18"/>
        <v>R/X</v>
      </c>
    </row>
    <row r="1188" spans="1:14" ht="15" customHeight="1" x14ac:dyDescent="0.35">
      <c r="A1188">
        <v>102</v>
      </c>
      <c r="B1188">
        <v>25</v>
      </c>
      <c r="C1188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Master'!$F:$F,B1188),"")</f>
        <v>96</v>
      </c>
      <c r="D1188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Master'!$F:$F,B1188),"")</f>
        <v>1.54</v>
      </c>
      <c r="E1188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Master'!$F:$F,B1188),"")</f>
        <v>1.54</v>
      </c>
      <c r="F1188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Master'!$F:$F,B1188),"")</f>
        <v>0.08</v>
      </c>
      <c r="G1188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Master'!$F:$F,B1188),"")</f>
        <v>143</v>
      </c>
      <c r="H1188">
        <f>IF(AND(ISNUMBER(C1188),C1188&gt;='Bulk Calculator'!U102/('Bulk Calculator'!J102*'Bulk Calculator'!L102)),1,0)</f>
        <v>1</v>
      </c>
      <c r="I1188">
        <f>IFERROR(IF(AND(ISNUMBER(E1188),ISNUMBER(F1188),E1188&gt;0,F1188&gt;0),SQRT(3)*'Bulk Calculator'!O102*'Bulk Calculator'!AA102*((E1188*'Bulk Calculator'!Q102)+(F1188*SQRT(1-'Bulk Calculator'!Q102^2)))/'Bulk Calculator'!J102/'Bulk Calculator'!K102*100,D1188*'Bulk Calculator'!AA102*'Bulk Calculator'!O102/'Bulk Calculator'!J102/'Bulk Calculator'!K102*100),"")</f>
        <v>0</v>
      </c>
      <c r="J1188">
        <f>IFERROR(IF(AND(ISNUMBER(E1188),ISNUMBER(F1188),E1188&gt;0,F1188&gt;0),SQRT(3)*'Bulk Calculator'!O102*'Bulk Calculator'!U102*((E1188*'Bulk Calculator'!M102)+(F1188*SQRT(1-'Bulk Calculator'!M102^2)))/'Bulk Calculator'!J102/'Bulk Calculator'!K102*100,D1188*'Bulk Calculator'!U102*'Bulk Calculator'!O102/'Bulk Calculator'!J102/'Bulk Calculator'!K102*100),"")</f>
        <v>0</v>
      </c>
      <c r="K1188">
        <f>IFERROR(G1188*B1188*'Bulk Calculator'!J102/SQRT('Bulk Calculator'!S102)/1000,"")</f>
        <v>7.9939430195617485</v>
      </c>
      <c r="L1188">
        <f>IF(OR('Bulk Calculator'!R102="",'Bulk Calculator'!S102="",G1188=""),0,IF(K1188&gt;='Bulk Calculator'!R102,1,0))</f>
        <v>1</v>
      </c>
      <c r="M1188">
        <f>IF(AND(H1188=1,I1188&lt;='OS-DORAEN'!$B$6,J1188&lt;='OS-DORAEN'!$B$5,L1188=1),1,0)</f>
        <v>1</v>
      </c>
      <c r="N1188" t="str">
        <f t="shared" si="18"/>
        <v>R/X</v>
      </c>
    </row>
    <row r="1189" spans="1:14" ht="15" customHeight="1" x14ac:dyDescent="0.35">
      <c r="A1189">
        <v>102</v>
      </c>
      <c r="B1189">
        <v>16</v>
      </c>
      <c r="C1189">
        <f>IFERROR(SUMIFS('Cable Data Master'!$G:$G,'Cable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Master'!$F:$F,B1189),"")</f>
        <v>0</v>
      </c>
      <c r="D1189">
        <f>IFERROR(SUMIFS('Cable Data Master'!$K:$K,'Cable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Master'!$F:$F,B1189),"")</f>
        <v>0</v>
      </c>
      <c r="E1189">
        <f>IFERROR(SUMIFS('Cable Data Master'!$H:$H,'Cable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Master'!$F:$F,B1189),"")</f>
        <v>0</v>
      </c>
      <c r="F1189">
        <f>IFERROR(SUMIFS('Cable Data Master'!$I:$I,'Cable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Master'!$F:$F,B1189),"")</f>
        <v>0</v>
      </c>
      <c r="G1189">
        <f>IFERROR(SUMIFS('Cable Data Master'!$J:$J,'Cable Data Master'!$A:$A,'Bulk Calculator'!$BF102,'Cable Data Master'!$B:$B,'Bulk Calculator'!$BG102,'Cable Data Master'!$C:$C,'Bulk Calculator'!$BH102,'Cable Data Master'!$D:$D,'Bulk Calculator'!$BI102,'Cable Data Master'!$E:$E,'Bulk Calculator'!$BJ102,'Cable Data Master'!$F:$F,B1189),"")</f>
        <v>0</v>
      </c>
      <c r="H1189">
        <f>IF(AND(ISNUMBER(C1189),C1189&gt;='Bulk Calculator'!U102/('Bulk Calculator'!J102*'Bulk Calculator'!L102)),1,0)</f>
        <v>1</v>
      </c>
      <c r="I1189">
        <f>IFERROR(IF(AND(ISNUMBER(E1189),ISNUMBER(F1189),E1189&gt;0,F1189&gt;0),SQRT(3)*'Bulk Calculator'!O102*'Bulk Calculator'!AA102*((E1189*'Bulk Calculator'!Q102)+(F1189*SQRT(1-'Bulk Calculator'!Q102^2)))/'Bulk Calculator'!J102/'Bulk Calculator'!K102*100,D1189*'Bulk Calculator'!AA102*'Bulk Calculator'!O102/'Bulk Calculator'!J102/'Bulk Calculator'!K102*100),"")</f>
        <v>0</v>
      </c>
      <c r="J1189">
        <f>IFERROR(IF(AND(ISNUMBER(E1189),ISNUMBER(F1189),E1189&gt;0,F1189&gt;0),SQRT(3)*'Bulk Calculator'!O102*'Bulk Calculator'!U102*((E1189*'Bulk Calculator'!M102)+(F1189*SQRT(1-'Bulk Calculator'!M102^2)))/'Bulk Calculator'!J102/'Bulk Calculator'!K102*100,D1189*'Bulk Calculator'!U102*'Bulk Calculator'!O102/'Bulk Calculator'!J102/'Bulk Calculator'!K102*100),"")</f>
        <v>0</v>
      </c>
      <c r="K1189">
        <f>IFERROR(G1189*B1189*'Bulk Calculator'!J102/SQRT('Bulk Calculator'!S102)/1000,"")</f>
        <v>0</v>
      </c>
      <c r="L1189">
        <f>IF(OR('Bulk Calculator'!R102="",'Bulk Calculator'!S102="",G1189=""),0,IF(K1189&gt;='Bulk Calculator'!R102,1,0))</f>
        <v>1</v>
      </c>
      <c r="M1189">
        <f>IF(AND(H1189=1,I1189&lt;='OS-DORAEN'!$B$6,J1189&lt;='OS-DORAEN'!$B$5,L1189=1),1,0)</f>
        <v>1</v>
      </c>
      <c r="N1189" t="str">
        <f t="shared" si="18"/>
        <v>Manufacturer VD Ref</v>
      </c>
    </row>
    <row r="1190" spans="1:14" ht="15" customHeight="1" x14ac:dyDescent="0.35">
      <c r="A1190">
        <v>103</v>
      </c>
      <c r="B1190">
        <v>400</v>
      </c>
      <c r="C1190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Master'!$F:$F,B1190),"")</f>
        <v>530</v>
      </c>
      <c r="D1190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Master'!$F:$F,B1190),"")</f>
        <v>0.1023</v>
      </c>
      <c r="E1190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Master'!$F:$F,B1190),"")</f>
        <v>0.1023</v>
      </c>
      <c r="F1190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Master'!$F:$F,B1190),"")</f>
        <v>7.0000000000000007E-2</v>
      </c>
      <c r="G1190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Master'!$F:$F,B1190),"")</f>
        <v>143</v>
      </c>
      <c r="H1190">
        <f>IF(AND(ISNUMBER(C1190),C1190&gt;='Bulk Calculator'!U103/('Bulk Calculator'!J103*'Bulk Calculator'!L103)),1,0)</f>
        <v>1</v>
      </c>
      <c r="I1190">
        <f>IFERROR(IF(AND(ISNUMBER(E1190),ISNUMBER(F1190),E1190&gt;0,F1190&gt;0),SQRT(3)*'Bulk Calculator'!O103*'Bulk Calculator'!AA103*((E1190*'Bulk Calculator'!Q103)+(F1190*SQRT(1-'Bulk Calculator'!Q103^2)))/'Bulk Calculator'!J103/'Bulk Calculator'!K103*100,D1190*'Bulk Calculator'!AA103*'Bulk Calculator'!O103/'Bulk Calculator'!J103/'Bulk Calculator'!K103*100),"")</f>
        <v>0</v>
      </c>
      <c r="J1190">
        <f>IFERROR(IF(AND(ISNUMBER(E1190),ISNUMBER(F1190),E1190&gt;0,F1190&gt;0),SQRT(3)*'Bulk Calculator'!O103*'Bulk Calculator'!U103*((E1190*'Bulk Calculator'!M103)+(F1190*SQRT(1-'Bulk Calculator'!M103^2)))/'Bulk Calculator'!J103/'Bulk Calculator'!K103*100,D1190*'Bulk Calculator'!U103*'Bulk Calculator'!O103/'Bulk Calculator'!J103/'Bulk Calculator'!K103*100),"")</f>
        <v>0</v>
      </c>
      <c r="K1190">
        <f>IFERROR(G1190*B1190*'Bulk Calculator'!J103/SQRT('Bulk Calculator'!S103)/1000,"")</f>
        <v>127.90308831298798</v>
      </c>
      <c r="L1190">
        <f>IF(OR('Bulk Calculator'!R103="",'Bulk Calculator'!S103="",G1190=""),0,IF(K1190&gt;='Bulk Calculator'!R103,1,0))</f>
        <v>1</v>
      </c>
      <c r="M1190">
        <f>IF(AND(H1190=1,I1190&lt;='OS-DORAEN'!$B$6,J1190&lt;='OS-DORAEN'!$B$5,L1190=1),1,0)</f>
        <v>1</v>
      </c>
      <c r="N1190" t="str">
        <f t="shared" si="18"/>
        <v>R/X</v>
      </c>
    </row>
    <row r="1191" spans="1:14" ht="15" customHeight="1" x14ac:dyDescent="0.35">
      <c r="A1191">
        <v>103</v>
      </c>
      <c r="B1191">
        <v>300</v>
      </c>
      <c r="C1191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Master'!$F:$F,B1191),"")</f>
        <v>455</v>
      </c>
      <c r="D1191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Master'!$F:$F,B1191),"")</f>
        <v>0.13</v>
      </c>
      <c r="E1191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Master'!$F:$F,B1191),"")</f>
        <v>0.13</v>
      </c>
      <c r="F1191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Master'!$F:$F,B1191),"")</f>
        <v>7.0999999999999994E-2</v>
      </c>
      <c r="G1191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Master'!$F:$F,B1191),"")</f>
        <v>143</v>
      </c>
      <c r="H1191">
        <f>IF(AND(ISNUMBER(C1191),C1191&gt;='Bulk Calculator'!U103/('Bulk Calculator'!J103*'Bulk Calculator'!L103)),1,0)</f>
        <v>1</v>
      </c>
      <c r="I1191">
        <f>IFERROR(IF(AND(ISNUMBER(E1191),ISNUMBER(F1191),E1191&gt;0,F1191&gt;0),SQRT(3)*'Bulk Calculator'!O103*'Bulk Calculator'!AA103*((E1191*'Bulk Calculator'!Q103)+(F1191*SQRT(1-'Bulk Calculator'!Q103^2)))/'Bulk Calculator'!J103/'Bulk Calculator'!K103*100,D1191*'Bulk Calculator'!AA103*'Bulk Calculator'!O103/'Bulk Calculator'!J103/'Bulk Calculator'!K103*100),"")</f>
        <v>0</v>
      </c>
      <c r="J1191">
        <f>IFERROR(IF(AND(ISNUMBER(E1191),ISNUMBER(F1191),E1191&gt;0,F1191&gt;0),SQRT(3)*'Bulk Calculator'!O103*'Bulk Calculator'!U103*((E1191*'Bulk Calculator'!M103)+(F1191*SQRT(1-'Bulk Calculator'!M103^2)))/'Bulk Calculator'!J103/'Bulk Calculator'!K103*100,D1191*'Bulk Calculator'!U103*'Bulk Calculator'!O103/'Bulk Calculator'!J103/'Bulk Calculator'!K103*100),"")</f>
        <v>0</v>
      </c>
      <c r="K1191">
        <f>IFERROR(G1191*B1191*'Bulk Calculator'!J103/SQRT('Bulk Calculator'!S103)/1000,"")</f>
        <v>95.927316234740985</v>
      </c>
      <c r="L1191">
        <f>IF(OR('Bulk Calculator'!R103="",'Bulk Calculator'!S103="",G1191=""),0,IF(K1191&gt;='Bulk Calculator'!R103,1,0))</f>
        <v>1</v>
      </c>
      <c r="M1191">
        <f>IF(AND(H1191=1,I1191&lt;='OS-DORAEN'!$B$6,J1191&lt;='OS-DORAEN'!$B$5,L1191=1),1,0)</f>
        <v>1</v>
      </c>
      <c r="N1191" t="str">
        <f t="shared" si="18"/>
        <v>R/X</v>
      </c>
    </row>
    <row r="1192" spans="1:14" ht="15" customHeight="1" x14ac:dyDescent="0.35">
      <c r="A1192">
        <v>103</v>
      </c>
      <c r="B1192">
        <v>240</v>
      </c>
      <c r="C1192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Master'!$F:$F,B1192),"")</f>
        <v>399</v>
      </c>
      <c r="D1192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Master'!$F:$F,B1192),"")</f>
        <v>0.16200000000000001</v>
      </c>
      <c r="E1192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Master'!$F:$F,B1192),"")</f>
        <v>0.16200000000000001</v>
      </c>
      <c r="F1192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Master'!$F:$F,B1192),"")</f>
        <v>7.1999999999999995E-2</v>
      </c>
      <c r="G1192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Master'!$F:$F,B1192),"")</f>
        <v>143</v>
      </c>
      <c r="H1192">
        <f>IF(AND(ISNUMBER(C1192),C1192&gt;='Bulk Calculator'!U103/('Bulk Calculator'!J103*'Bulk Calculator'!L103)),1,0)</f>
        <v>1</v>
      </c>
      <c r="I1192">
        <f>IFERROR(IF(AND(ISNUMBER(E1192),ISNUMBER(F1192),E1192&gt;0,F1192&gt;0),SQRT(3)*'Bulk Calculator'!O103*'Bulk Calculator'!AA103*((E1192*'Bulk Calculator'!Q103)+(F1192*SQRT(1-'Bulk Calculator'!Q103^2)))/'Bulk Calculator'!J103/'Bulk Calculator'!K103*100,D1192*'Bulk Calculator'!AA103*'Bulk Calculator'!O103/'Bulk Calculator'!J103/'Bulk Calculator'!K103*100),"")</f>
        <v>0</v>
      </c>
      <c r="J1192">
        <f>IFERROR(IF(AND(ISNUMBER(E1192),ISNUMBER(F1192),E1192&gt;0,F1192&gt;0),SQRT(3)*'Bulk Calculator'!O103*'Bulk Calculator'!U103*((E1192*'Bulk Calculator'!M103)+(F1192*SQRT(1-'Bulk Calculator'!M103^2)))/'Bulk Calculator'!J103/'Bulk Calculator'!K103*100,D1192*'Bulk Calculator'!U103*'Bulk Calculator'!O103/'Bulk Calculator'!J103/'Bulk Calculator'!K103*100),"")</f>
        <v>0</v>
      </c>
      <c r="K1192">
        <f>IFERROR(G1192*B1192*'Bulk Calculator'!J103/SQRT('Bulk Calculator'!S103)/1000,"")</f>
        <v>76.741852987792782</v>
      </c>
      <c r="L1192">
        <f>IF(OR('Bulk Calculator'!R103="",'Bulk Calculator'!S103="",G1192=""),0,IF(K1192&gt;='Bulk Calculator'!R103,1,0))</f>
        <v>1</v>
      </c>
      <c r="M1192">
        <f>IF(AND(H1192=1,I1192&lt;='OS-DORAEN'!$B$6,J1192&lt;='OS-DORAEN'!$B$5,L1192=1),1,0)</f>
        <v>1</v>
      </c>
      <c r="N1192" t="str">
        <f t="shared" si="18"/>
        <v>R/X</v>
      </c>
    </row>
    <row r="1193" spans="1:14" ht="15" customHeight="1" x14ac:dyDescent="0.35">
      <c r="A1193">
        <v>103</v>
      </c>
      <c r="B1193">
        <v>185</v>
      </c>
      <c r="C1193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Master'!$F:$F,B1193),"")</f>
        <v>337</v>
      </c>
      <c r="D1193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Master'!$F:$F,B1193),"")</f>
        <v>0.21099999999999999</v>
      </c>
      <c r="E1193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Master'!$F:$F,B1193),"")</f>
        <v>0.21099999999999999</v>
      </c>
      <c r="F1193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Master'!$F:$F,B1193),"")</f>
        <v>7.1999999999999995E-2</v>
      </c>
      <c r="G1193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Master'!$F:$F,B1193),"")</f>
        <v>143</v>
      </c>
      <c r="H1193">
        <f>IF(AND(ISNUMBER(C1193),C1193&gt;='Bulk Calculator'!U103/('Bulk Calculator'!J103*'Bulk Calculator'!L103)),1,0)</f>
        <v>1</v>
      </c>
      <c r="I1193">
        <f>IFERROR(IF(AND(ISNUMBER(E1193),ISNUMBER(F1193),E1193&gt;0,F1193&gt;0),SQRT(3)*'Bulk Calculator'!O103*'Bulk Calculator'!AA103*((E1193*'Bulk Calculator'!Q103)+(F1193*SQRT(1-'Bulk Calculator'!Q103^2)))/'Bulk Calculator'!J103/'Bulk Calculator'!K103*100,D1193*'Bulk Calculator'!AA103*'Bulk Calculator'!O103/'Bulk Calculator'!J103/'Bulk Calculator'!K103*100),"")</f>
        <v>0</v>
      </c>
      <c r="J1193">
        <f>IFERROR(IF(AND(ISNUMBER(E1193),ISNUMBER(F1193),E1193&gt;0,F1193&gt;0),SQRT(3)*'Bulk Calculator'!O103*'Bulk Calculator'!U103*((E1193*'Bulk Calculator'!M103)+(F1193*SQRT(1-'Bulk Calculator'!M103^2)))/'Bulk Calculator'!J103/'Bulk Calculator'!K103*100,D1193*'Bulk Calculator'!U103*'Bulk Calculator'!O103/'Bulk Calculator'!J103/'Bulk Calculator'!K103*100),"")</f>
        <v>0</v>
      </c>
      <c r="K1193">
        <f>IFERROR(G1193*B1193*'Bulk Calculator'!J103/SQRT('Bulk Calculator'!S103)/1000,"")</f>
        <v>59.155178344756941</v>
      </c>
      <c r="L1193">
        <f>IF(OR('Bulk Calculator'!R103="",'Bulk Calculator'!S103="",G1193=""),0,IF(K1193&gt;='Bulk Calculator'!R103,1,0))</f>
        <v>1</v>
      </c>
      <c r="M1193">
        <f>IF(AND(H1193=1,I1193&lt;='OS-DORAEN'!$B$6,J1193&lt;='OS-DORAEN'!$B$5,L1193=1),1,0)</f>
        <v>1</v>
      </c>
      <c r="N1193" t="str">
        <f t="shared" si="18"/>
        <v>R/X</v>
      </c>
    </row>
    <row r="1194" spans="1:14" ht="15" customHeight="1" x14ac:dyDescent="0.35">
      <c r="A1194">
        <v>103</v>
      </c>
      <c r="B1194">
        <v>150</v>
      </c>
      <c r="C1194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Master'!$F:$F,B1194),"")</f>
        <v>292</v>
      </c>
      <c r="D1194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Master'!$F:$F,B1194),"")</f>
        <v>0.26500000000000001</v>
      </c>
      <c r="E1194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Master'!$F:$F,B1194),"")</f>
        <v>0.26500000000000001</v>
      </c>
      <c r="F1194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Master'!$F:$F,B1194),"")</f>
        <v>7.1999999999999995E-2</v>
      </c>
      <c r="G1194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Master'!$F:$F,B1194),"")</f>
        <v>143</v>
      </c>
      <c r="H1194">
        <f>IF(AND(ISNUMBER(C1194),C1194&gt;='Bulk Calculator'!U103/('Bulk Calculator'!J103*'Bulk Calculator'!L103)),1,0)</f>
        <v>1</v>
      </c>
      <c r="I1194">
        <f>IFERROR(IF(AND(ISNUMBER(E1194),ISNUMBER(F1194),E1194&gt;0,F1194&gt;0),SQRT(3)*'Bulk Calculator'!O103*'Bulk Calculator'!AA103*((E1194*'Bulk Calculator'!Q103)+(F1194*SQRT(1-'Bulk Calculator'!Q103^2)))/'Bulk Calculator'!J103/'Bulk Calculator'!K103*100,D1194*'Bulk Calculator'!AA103*'Bulk Calculator'!O103/'Bulk Calculator'!J103/'Bulk Calculator'!K103*100),"")</f>
        <v>0</v>
      </c>
      <c r="J1194">
        <f>IFERROR(IF(AND(ISNUMBER(E1194),ISNUMBER(F1194),E1194&gt;0,F1194&gt;0),SQRT(3)*'Bulk Calculator'!O103*'Bulk Calculator'!U103*((E1194*'Bulk Calculator'!M103)+(F1194*SQRT(1-'Bulk Calculator'!M103^2)))/'Bulk Calculator'!J103/'Bulk Calculator'!K103*100,D1194*'Bulk Calculator'!U103*'Bulk Calculator'!O103/'Bulk Calculator'!J103/'Bulk Calculator'!K103*100),"")</f>
        <v>0</v>
      </c>
      <c r="K1194">
        <f>IFERROR(G1194*B1194*'Bulk Calculator'!J103/SQRT('Bulk Calculator'!S103)/1000,"")</f>
        <v>47.963658117370493</v>
      </c>
      <c r="L1194">
        <f>IF(OR('Bulk Calculator'!R103="",'Bulk Calculator'!S103="",G1194=""),0,IF(K1194&gt;='Bulk Calculator'!R103,1,0))</f>
        <v>1</v>
      </c>
      <c r="M1194">
        <f>IF(AND(H1194=1,I1194&lt;='OS-DORAEN'!$B$6,J1194&lt;='OS-DORAEN'!$B$5,L1194=1),1,0)</f>
        <v>1</v>
      </c>
      <c r="N1194" t="str">
        <f t="shared" si="18"/>
        <v>R/X</v>
      </c>
    </row>
    <row r="1195" spans="1:14" ht="15" customHeight="1" x14ac:dyDescent="0.35">
      <c r="A1195">
        <v>103</v>
      </c>
      <c r="B1195">
        <v>120</v>
      </c>
      <c r="C1195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Master'!$F:$F,B1195),"")</f>
        <v>257</v>
      </c>
      <c r="D1195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Master'!$F:$F,B1195),"")</f>
        <v>0.32500000000000001</v>
      </c>
      <c r="E1195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Master'!$F:$F,B1195),"")</f>
        <v>0.32500000000000001</v>
      </c>
      <c r="F1195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Master'!$F:$F,B1195),"")</f>
        <v>7.1999999999999995E-2</v>
      </c>
      <c r="G1195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Master'!$F:$F,B1195),"")</f>
        <v>143</v>
      </c>
      <c r="H1195">
        <f>IF(AND(ISNUMBER(C1195),C1195&gt;='Bulk Calculator'!U103/('Bulk Calculator'!J103*'Bulk Calculator'!L103)),1,0)</f>
        <v>1</v>
      </c>
      <c r="I1195">
        <f>IFERROR(IF(AND(ISNUMBER(E1195),ISNUMBER(F1195),E1195&gt;0,F1195&gt;0),SQRT(3)*'Bulk Calculator'!O103*'Bulk Calculator'!AA103*((E1195*'Bulk Calculator'!Q103)+(F1195*SQRT(1-'Bulk Calculator'!Q103^2)))/'Bulk Calculator'!J103/'Bulk Calculator'!K103*100,D1195*'Bulk Calculator'!AA103*'Bulk Calculator'!O103/'Bulk Calculator'!J103/'Bulk Calculator'!K103*100),"")</f>
        <v>0</v>
      </c>
      <c r="J1195">
        <f>IFERROR(IF(AND(ISNUMBER(E1195),ISNUMBER(F1195),E1195&gt;0,F1195&gt;0),SQRT(3)*'Bulk Calculator'!O103*'Bulk Calculator'!U103*((E1195*'Bulk Calculator'!M103)+(F1195*SQRT(1-'Bulk Calculator'!M103^2)))/'Bulk Calculator'!J103/'Bulk Calculator'!K103*100,D1195*'Bulk Calculator'!U103*'Bulk Calculator'!O103/'Bulk Calculator'!J103/'Bulk Calculator'!K103*100),"")</f>
        <v>0</v>
      </c>
      <c r="K1195">
        <f>IFERROR(G1195*B1195*'Bulk Calculator'!J103/SQRT('Bulk Calculator'!S103)/1000,"")</f>
        <v>38.370926493896391</v>
      </c>
      <c r="L1195">
        <f>IF(OR('Bulk Calculator'!R103="",'Bulk Calculator'!S103="",G1195=""),0,IF(K1195&gt;='Bulk Calculator'!R103,1,0))</f>
        <v>1</v>
      </c>
      <c r="M1195">
        <f>IF(AND(H1195=1,I1195&lt;='OS-DORAEN'!$B$6,J1195&lt;='OS-DORAEN'!$B$5,L1195=1),1,0)</f>
        <v>1</v>
      </c>
      <c r="N1195" t="str">
        <f t="shared" si="18"/>
        <v>R/X</v>
      </c>
    </row>
    <row r="1196" spans="1:14" ht="15" customHeight="1" x14ac:dyDescent="0.35">
      <c r="A1196">
        <v>103</v>
      </c>
      <c r="B1196">
        <v>95</v>
      </c>
      <c r="C1196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Master'!$F:$F,B1196),"")</f>
        <v>221</v>
      </c>
      <c r="D1196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Master'!$F:$F,B1196),"")</f>
        <v>0.41</v>
      </c>
      <c r="E1196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Master'!$F:$F,B1196),"")</f>
        <v>0.41</v>
      </c>
      <c r="F1196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Master'!$F:$F,B1196),"")</f>
        <v>7.3999999999999996E-2</v>
      </c>
      <c r="G1196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Master'!$F:$F,B1196),"")</f>
        <v>143</v>
      </c>
      <c r="H1196">
        <f>IF(AND(ISNUMBER(C1196),C1196&gt;='Bulk Calculator'!U103/('Bulk Calculator'!J103*'Bulk Calculator'!L103)),1,0)</f>
        <v>1</v>
      </c>
      <c r="I1196">
        <f>IFERROR(IF(AND(ISNUMBER(E1196),ISNUMBER(F1196),E1196&gt;0,F1196&gt;0),SQRT(3)*'Bulk Calculator'!O103*'Bulk Calculator'!AA103*((E1196*'Bulk Calculator'!Q103)+(F1196*SQRT(1-'Bulk Calculator'!Q103^2)))/'Bulk Calculator'!J103/'Bulk Calculator'!K103*100,D1196*'Bulk Calculator'!AA103*'Bulk Calculator'!O103/'Bulk Calculator'!J103/'Bulk Calculator'!K103*100),"")</f>
        <v>0</v>
      </c>
      <c r="J1196">
        <f>IFERROR(IF(AND(ISNUMBER(E1196),ISNUMBER(F1196),E1196&gt;0,F1196&gt;0),SQRT(3)*'Bulk Calculator'!O103*'Bulk Calculator'!U103*((E1196*'Bulk Calculator'!M103)+(F1196*SQRT(1-'Bulk Calculator'!M103^2)))/'Bulk Calculator'!J103/'Bulk Calculator'!K103*100,D1196*'Bulk Calculator'!U103*'Bulk Calculator'!O103/'Bulk Calculator'!J103/'Bulk Calculator'!K103*100),"")</f>
        <v>0</v>
      </c>
      <c r="K1196">
        <f>IFERROR(G1196*B1196*'Bulk Calculator'!J103/SQRT('Bulk Calculator'!S103)/1000,"")</f>
        <v>30.376983474334644</v>
      </c>
      <c r="L1196">
        <f>IF(OR('Bulk Calculator'!R103="",'Bulk Calculator'!S103="",G1196=""),0,IF(K1196&gt;='Bulk Calculator'!R103,1,0))</f>
        <v>1</v>
      </c>
      <c r="M1196">
        <f>IF(AND(H1196=1,I1196&lt;='OS-DORAEN'!$B$6,J1196&lt;='OS-DORAEN'!$B$5,L1196=1),1,0)</f>
        <v>1</v>
      </c>
      <c r="N1196" t="str">
        <f t="shared" si="18"/>
        <v>R/X</v>
      </c>
    </row>
    <row r="1197" spans="1:14" ht="15" customHeight="1" x14ac:dyDescent="0.35">
      <c r="A1197">
        <v>103</v>
      </c>
      <c r="B1197">
        <v>70</v>
      </c>
      <c r="C1197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Master'!$F:$F,B1197),"")</f>
        <v>179</v>
      </c>
      <c r="D1197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Master'!$F:$F,B1197),"")</f>
        <v>0.56699999999999995</v>
      </c>
      <c r="E1197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Master'!$F:$F,B1197),"")</f>
        <v>0.56699999999999995</v>
      </c>
      <c r="F1197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Master'!$F:$F,B1197),"")</f>
        <v>7.6999999999999999E-2</v>
      </c>
      <c r="G1197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Master'!$F:$F,B1197),"")</f>
        <v>143</v>
      </c>
      <c r="H1197">
        <f>IF(AND(ISNUMBER(C1197),C1197&gt;='Bulk Calculator'!U103/('Bulk Calculator'!J103*'Bulk Calculator'!L103)),1,0)</f>
        <v>1</v>
      </c>
      <c r="I1197">
        <f>IFERROR(IF(AND(ISNUMBER(E1197),ISNUMBER(F1197),E1197&gt;0,F1197&gt;0),SQRT(3)*'Bulk Calculator'!O103*'Bulk Calculator'!AA103*((E1197*'Bulk Calculator'!Q103)+(F1197*SQRT(1-'Bulk Calculator'!Q103^2)))/'Bulk Calculator'!J103/'Bulk Calculator'!K103*100,D1197*'Bulk Calculator'!AA103*'Bulk Calculator'!O103/'Bulk Calculator'!J103/'Bulk Calculator'!K103*100),"")</f>
        <v>0</v>
      </c>
      <c r="J1197">
        <f>IFERROR(IF(AND(ISNUMBER(E1197),ISNUMBER(F1197),E1197&gt;0,F1197&gt;0),SQRT(3)*'Bulk Calculator'!O103*'Bulk Calculator'!U103*((E1197*'Bulk Calculator'!M103)+(F1197*SQRT(1-'Bulk Calculator'!M103^2)))/'Bulk Calculator'!J103/'Bulk Calculator'!K103*100,D1197*'Bulk Calculator'!U103*'Bulk Calculator'!O103/'Bulk Calculator'!J103/'Bulk Calculator'!K103*100),"")</f>
        <v>0</v>
      </c>
      <c r="K1197">
        <f>IFERROR(G1197*B1197*'Bulk Calculator'!J103/SQRT('Bulk Calculator'!S103)/1000,"")</f>
        <v>22.383040454772893</v>
      </c>
      <c r="L1197">
        <f>IF(OR('Bulk Calculator'!R103="",'Bulk Calculator'!S103="",G1197=""),0,IF(K1197&gt;='Bulk Calculator'!R103,1,0))</f>
        <v>1</v>
      </c>
      <c r="M1197">
        <f>IF(AND(H1197=1,I1197&lt;='OS-DORAEN'!$B$6,J1197&lt;='OS-DORAEN'!$B$5,L1197=1),1,0)</f>
        <v>1</v>
      </c>
      <c r="N1197" t="str">
        <f t="shared" si="18"/>
        <v>R/X</v>
      </c>
    </row>
    <row r="1198" spans="1:14" ht="15" customHeight="1" x14ac:dyDescent="0.35">
      <c r="A1198">
        <v>103</v>
      </c>
      <c r="B1198">
        <v>50</v>
      </c>
      <c r="C1198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Master'!$F:$F,B1198),"")</f>
        <v>142</v>
      </c>
      <c r="D1198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Master'!$F:$F,B1198),"")</f>
        <v>0.82</v>
      </c>
      <c r="E1198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Master'!$F:$F,B1198),"")</f>
        <v>0.82</v>
      </c>
      <c r="F1198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Master'!$F:$F,B1198),"")</f>
        <v>7.8E-2</v>
      </c>
      <c r="G1198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Master'!$F:$F,B1198),"")</f>
        <v>143</v>
      </c>
      <c r="H1198">
        <f>IF(AND(ISNUMBER(C1198),C1198&gt;='Bulk Calculator'!U103/('Bulk Calculator'!J103*'Bulk Calculator'!L103)),1,0)</f>
        <v>1</v>
      </c>
      <c r="I1198">
        <f>IFERROR(IF(AND(ISNUMBER(E1198),ISNUMBER(F1198),E1198&gt;0,F1198&gt;0),SQRT(3)*'Bulk Calculator'!O103*'Bulk Calculator'!AA103*((E1198*'Bulk Calculator'!Q103)+(F1198*SQRT(1-'Bulk Calculator'!Q103^2)))/'Bulk Calculator'!J103/'Bulk Calculator'!K103*100,D1198*'Bulk Calculator'!AA103*'Bulk Calculator'!O103/'Bulk Calculator'!J103/'Bulk Calculator'!K103*100),"")</f>
        <v>0</v>
      </c>
      <c r="J1198">
        <f>IFERROR(IF(AND(ISNUMBER(E1198),ISNUMBER(F1198),E1198&gt;0,F1198&gt;0),SQRT(3)*'Bulk Calculator'!O103*'Bulk Calculator'!U103*((E1198*'Bulk Calculator'!M103)+(F1198*SQRT(1-'Bulk Calculator'!M103^2)))/'Bulk Calculator'!J103/'Bulk Calculator'!K103*100,D1198*'Bulk Calculator'!U103*'Bulk Calculator'!O103/'Bulk Calculator'!J103/'Bulk Calculator'!K103*100),"")</f>
        <v>0</v>
      </c>
      <c r="K1198">
        <f>IFERROR(G1198*B1198*'Bulk Calculator'!J103/SQRT('Bulk Calculator'!S103)/1000,"")</f>
        <v>15.987886039123497</v>
      </c>
      <c r="L1198">
        <f>IF(OR('Bulk Calculator'!R103="",'Bulk Calculator'!S103="",G1198=""),0,IF(K1198&gt;='Bulk Calculator'!R103,1,0))</f>
        <v>1</v>
      </c>
      <c r="M1198">
        <f>IF(AND(H1198=1,I1198&lt;='OS-DORAEN'!$B$6,J1198&lt;='OS-DORAEN'!$B$5,L1198=1),1,0)</f>
        <v>1</v>
      </c>
      <c r="N1198" t="str">
        <f t="shared" si="18"/>
        <v>R/X</v>
      </c>
    </row>
    <row r="1199" spans="1:14" ht="15" customHeight="1" x14ac:dyDescent="0.35">
      <c r="A1199">
        <v>103</v>
      </c>
      <c r="B1199">
        <v>35</v>
      </c>
      <c r="C1199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Master'!$F:$F,B1199),"")</f>
        <v>117</v>
      </c>
      <c r="D1199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Master'!$F:$F,B1199),"")</f>
        <v>1.1100000000000001</v>
      </c>
      <c r="E1199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Master'!$F:$F,B1199),"")</f>
        <v>1.1100000000000001</v>
      </c>
      <c r="F1199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Master'!$F:$F,B1199),"")</f>
        <v>0.08</v>
      </c>
      <c r="G1199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Master'!$F:$F,B1199),"")</f>
        <v>143</v>
      </c>
      <c r="H1199">
        <f>IF(AND(ISNUMBER(C1199),C1199&gt;='Bulk Calculator'!U103/('Bulk Calculator'!J103*'Bulk Calculator'!L103)),1,0)</f>
        <v>1</v>
      </c>
      <c r="I1199">
        <f>IFERROR(IF(AND(ISNUMBER(E1199),ISNUMBER(F1199),E1199&gt;0,F1199&gt;0),SQRT(3)*'Bulk Calculator'!O103*'Bulk Calculator'!AA103*((E1199*'Bulk Calculator'!Q103)+(F1199*SQRT(1-'Bulk Calculator'!Q103^2)))/'Bulk Calculator'!J103/'Bulk Calculator'!K103*100,D1199*'Bulk Calculator'!AA103*'Bulk Calculator'!O103/'Bulk Calculator'!J103/'Bulk Calculator'!K103*100),"")</f>
        <v>0</v>
      </c>
      <c r="J1199">
        <f>IFERROR(IF(AND(ISNUMBER(E1199),ISNUMBER(F1199),E1199&gt;0,F1199&gt;0),SQRT(3)*'Bulk Calculator'!O103*'Bulk Calculator'!U103*((E1199*'Bulk Calculator'!M103)+(F1199*SQRT(1-'Bulk Calculator'!M103^2)))/'Bulk Calculator'!J103/'Bulk Calculator'!K103*100,D1199*'Bulk Calculator'!U103*'Bulk Calculator'!O103/'Bulk Calculator'!J103/'Bulk Calculator'!K103*100),"")</f>
        <v>0</v>
      </c>
      <c r="K1199">
        <f>IFERROR(G1199*B1199*'Bulk Calculator'!J103/SQRT('Bulk Calculator'!S103)/1000,"")</f>
        <v>11.191520227386446</v>
      </c>
      <c r="L1199">
        <f>IF(OR('Bulk Calculator'!R103="",'Bulk Calculator'!S103="",G1199=""),0,IF(K1199&gt;='Bulk Calculator'!R103,1,0))</f>
        <v>1</v>
      </c>
      <c r="M1199">
        <f>IF(AND(H1199=1,I1199&lt;='OS-DORAEN'!$B$6,J1199&lt;='OS-DORAEN'!$B$5,L1199=1),1,0)</f>
        <v>1</v>
      </c>
      <c r="N1199" t="str">
        <f t="shared" si="18"/>
        <v>R/X</v>
      </c>
    </row>
    <row r="1200" spans="1:14" ht="15" customHeight="1" x14ac:dyDescent="0.35">
      <c r="A1200">
        <v>103</v>
      </c>
      <c r="B1200">
        <v>25</v>
      </c>
      <c r="C1200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Master'!$F:$F,B1200),"")</f>
        <v>96</v>
      </c>
      <c r="D1200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Master'!$F:$F,B1200),"")</f>
        <v>1.54</v>
      </c>
      <c r="E1200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Master'!$F:$F,B1200),"")</f>
        <v>1.54</v>
      </c>
      <c r="F1200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Master'!$F:$F,B1200),"")</f>
        <v>0.08</v>
      </c>
      <c r="G1200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Master'!$F:$F,B1200),"")</f>
        <v>143</v>
      </c>
      <c r="H1200">
        <f>IF(AND(ISNUMBER(C1200),C1200&gt;='Bulk Calculator'!U103/('Bulk Calculator'!J103*'Bulk Calculator'!L103)),1,0)</f>
        <v>1</v>
      </c>
      <c r="I1200">
        <f>IFERROR(IF(AND(ISNUMBER(E1200),ISNUMBER(F1200),E1200&gt;0,F1200&gt;0),SQRT(3)*'Bulk Calculator'!O103*'Bulk Calculator'!AA103*((E1200*'Bulk Calculator'!Q103)+(F1200*SQRT(1-'Bulk Calculator'!Q103^2)))/'Bulk Calculator'!J103/'Bulk Calculator'!K103*100,D1200*'Bulk Calculator'!AA103*'Bulk Calculator'!O103/'Bulk Calculator'!J103/'Bulk Calculator'!K103*100),"")</f>
        <v>0</v>
      </c>
      <c r="J1200">
        <f>IFERROR(IF(AND(ISNUMBER(E1200),ISNUMBER(F1200),E1200&gt;0,F1200&gt;0),SQRT(3)*'Bulk Calculator'!O103*'Bulk Calculator'!U103*((E1200*'Bulk Calculator'!M103)+(F1200*SQRT(1-'Bulk Calculator'!M103^2)))/'Bulk Calculator'!J103/'Bulk Calculator'!K103*100,D1200*'Bulk Calculator'!U103*'Bulk Calculator'!O103/'Bulk Calculator'!J103/'Bulk Calculator'!K103*100),"")</f>
        <v>0</v>
      </c>
      <c r="K1200">
        <f>IFERROR(G1200*B1200*'Bulk Calculator'!J103/SQRT('Bulk Calculator'!S103)/1000,"")</f>
        <v>7.9939430195617485</v>
      </c>
      <c r="L1200">
        <f>IF(OR('Bulk Calculator'!R103="",'Bulk Calculator'!S103="",G1200=""),0,IF(K1200&gt;='Bulk Calculator'!R103,1,0))</f>
        <v>1</v>
      </c>
      <c r="M1200">
        <f>IF(AND(H1200=1,I1200&lt;='OS-DORAEN'!$B$6,J1200&lt;='OS-DORAEN'!$B$5,L1200=1),1,0)</f>
        <v>1</v>
      </c>
      <c r="N1200" t="str">
        <f t="shared" si="18"/>
        <v>R/X</v>
      </c>
    </row>
    <row r="1201" spans="1:14" ht="15" customHeight="1" x14ac:dyDescent="0.35">
      <c r="A1201">
        <v>103</v>
      </c>
      <c r="B1201">
        <v>16</v>
      </c>
      <c r="C1201">
        <f>IFERROR(SUMIFS('Cable Data Master'!$G:$G,'Cable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Master'!$F:$F,B1201),"")</f>
        <v>0</v>
      </c>
      <c r="D1201">
        <f>IFERROR(SUMIFS('Cable Data Master'!$K:$K,'Cable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Master'!$F:$F,B1201),"")</f>
        <v>0</v>
      </c>
      <c r="E1201">
        <f>IFERROR(SUMIFS('Cable Data Master'!$H:$H,'Cable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Master'!$F:$F,B1201),"")</f>
        <v>0</v>
      </c>
      <c r="F1201">
        <f>IFERROR(SUMIFS('Cable Data Master'!$I:$I,'Cable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Master'!$F:$F,B1201),"")</f>
        <v>0</v>
      </c>
      <c r="G1201">
        <f>IFERROR(SUMIFS('Cable Data Master'!$J:$J,'Cable Data Master'!$A:$A,'Bulk Calculator'!$BF103,'Cable Data Master'!$B:$B,'Bulk Calculator'!$BG103,'Cable Data Master'!$C:$C,'Bulk Calculator'!$BH103,'Cable Data Master'!$D:$D,'Bulk Calculator'!$BI103,'Cable Data Master'!$E:$E,'Bulk Calculator'!$BJ103,'Cable Data Master'!$F:$F,B1201),"")</f>
        <v>0</v>
      </c>
      <c r="H1201">
        <f>IF(AND(ISNUMBER(C1201),C1201&gt;='Bulk Calculator'!U103/('Bulk Calculator'!J103*'Bulk Calculator'!L103)),1,0)</f>
        <v>1</v>
      </c>
      <c r="I1201">
        <f>IFERROR(IF(AND(ISNUMBER(E1201),ISNUMBER(F1201),E1201&gt;0,F1201&gt;0),SQRT(3)*'Bulk Calculator'!O103*'Bulk Calculator'!AA103*((E1201*'Bulk Calculator'!Q103)+(F1201*SQRT(1-'Bulk Calculator'!Q103^2)))/'Bulk Calculator'!J103/'Bulk Calculator'!K103*100,D1201*'Bulk Calculator'!AA103*'Bulk Calculator'!O103/'Bulk Calculator'!J103/'Bulk Calculator'!K103*100),"")</f>
        <v>0</v>
      </c>
      <c r="J1201">
        <f>IFERROR(IF(AND(ISNUMBER(E1201),ISNUMBER(F1201),E1201&gt;0,F1201&gt;0),SQRT(3)*'Bulk Calculator'!O103*'Bulk Calculator'!U103*((E1201*'Bulk Calculator'!M103)+(F1201*SQRT(1-'Bulk Calculator'!M103^2)))/'Bulk Calculator'!J103/'Bulk Calculator'!K103*100,D1201*'Bulk Calculator'!U103*'Bulk Calculator'!O103/'Bulk Calculator'!J103/'Bulk Calculator'!K103*100),"")</f>
        <v>0</v>
      </c>
      <c r="K1201">
        <f>IFERROR(G1201*B1201*'Bulk Calculator'!J103/SQRT('Bulk Calculator'!S103)/1000,"")</f>
        <v>0</v>
      </c>
      <c r="L1201">
        <f>IF(OR('Bulk Calculator'!R103="",'Bulk Calculator'!S103="",G1201=""),0,IF(K1201&gt;='Bulk Calculator'!R103,1,0))</f>
        <v>1</v>
      </c>
      <c r="M1201">
        <f>IF(AND(H1201=1,I1201&lt;='OS-DORAEN'!$B$6,J1201&lt;='OS-DORAEN'!$B$5,L1201=1),1,0)</f>
        <v>1</v>
      </c>
      <c r="N1201" t="str">
        <f t="shared" si="18"/>
        <v>Manufacturer VD Ref</v>
      </c>
    </row>
  </sheetData>
  <sheetProtection sheet="1"/>
  <autoFilter ref="A1:N1201" xr:uid="{00000000-0009-0000-0000-00000A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Cover Page</vt:lpstr>
      <vt:lpstr>OS-DORAEN</vt:lpstr>
      <vt:lpstr>Bulk Calculator</vt:lpstr>
      <vt:lpstr>Bulk Instructions</vt:lpstr>
      <vt:lpstr> Motor Calculation</vt:lpstr>
      <vt:lpstr>Cable Data</vt:lpstr>
      <vt:lpstr>Formula Guide</vt:lpstr>
      <vt:lpstr>Design Notes</vt:lpstr>
      <vt:lpstr>Lists</vt:lpstr>
      <vt:lpstr>Cable Data Master</vt:lpstr>
      <vt:lpstr>AUTO ENGINE</vt:lpstr>
      <vt:lpstr>'Cover Page'!Print_Area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Omakr Kushwah</cp:lastModifiedBy>
  <dcterms:created xsi:type="dcterms:W3CDTF">2026-09-18T14:55:43Z</dcterms:created>
  <dcterms:modified xsi:type="dcterms:W3CDTF">2026-10-21T06:11:13Z</dcterms:modified>
</cp:coreProperties>
</file>